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drawings/drawing8.xml" ContentType="application/vnd.openxmlformats-officedocument.drawing+xml"/>
  <Override PartName="/xl/worksheets/sheet26.xml" ContentType="application/vnd.openxmlformats-officedocument.spreadsheetml.worksheet+xml"/>
  <Override PartName="/xl/drawings/drawing9.xml" ContentType="application/vnd.openxmlformats-officedocument.drawing+xml"/>
  <Override PartName="/xl/worksheets/sheet27.xml" ContentType="application/vnd.openxmlformats-officedocument.spreadsheetml.worksheet+xml"/>
  <Override PartName="/xl/drawings/drawing10.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640" windowHeight="5895" tabRatio="881" activeTab="0"/>
  </bookViews>
  <sheets>
    <sheet name="Chấp hành trai tạm giam" sheetId="1" r:id="rId1"/>
    <sheet name="TK TS bán đấu giá ko thành" sheetId="2" r:id="rId2"/>
    <sheet name="Tk số việc thu cho NSNN" sheetId="3" r:id="rId3"/>
    <sheet name="Thu cho NSNN 2" sheetId="4" r:id="rId4"/>
    <sheet name="Bao cao don doc hanh chinh 19" sheetId="5" r:id="rId5"/>
    <sheet name="Bao cao ve boi thuong NN 18" sheetId="6" r:id="rId6"/>
    <sheet name="Bao cao khang nghi 17" sheetId="7" r:id="rId7"/>
    <sheet name="Mau bao cao kiem sat 16" sheetId="8" r:id="rId8"/>
    <sheet name="Mau giam sat 15" sheetId="9" r:id="rId9"/>
    <sheet name="Bao cao chat luong CB mau 14" sheetId="10" r:id="rId10"/>
    <sheet name="co cau bien che mau 13" sheetId="11" r:id="rId11"/>
    <sheet name="To cao mau 12" sheetId="12" r:id="rId12"/>
    <sheet name="Khieu nai mau 11" sheetId="13" r:id="rId13"/>
    <sheet name="Mau cuong che 10" sheetId="14" r:id="rId14"/>
    <sheet name="sua  mau an tuyen khong ro 9" sheetId="15" state="hidden" r:id="rId15"/>
    <sheet name="Mau an tuyen khong ro 9" sheetId="16" r:id="rId16"/>
    <sheet name="Mãu BC mien giam 8" sheetId="17" r:id="rId17"/>
    <sheet name="Mẫu BC tiền theo CHV Mẫu 07" sheetId="18" r:id="rId18"/>
    <sheet name="Mẫu BC việc theo CHV Mẫu 06" sheetId="19" r:id="rId19"/>
    <sheet name="Về tiền theo đối tượng Mẫu 05" sheetId="20" r:id="rId20"/>
    <sheet name="Phân tich chỉ tiêu Mẫu 04.THA" sheetId="21" r:id="rId21"/>
    <sheet name="Về tiền theo đơn Mau 04.THA" sheetId="22" r:id="rId22"/>
    <sheet name="Phân tích chỉ tiêu Mẫu 03.THA" sheetId="23" r:id="rId23"/>
    <sheet name="Về tiền chủ động Mẫu 03.THA" sheetId="24" r:id="rId24"/>
    <sheet name="Phan tich chi tieu mau 02.THA" sheetId="25" r:id="rId25"/>
    <sheet name="Về việc theo đơn Mau 02.THA1" sheetId="26" r:id="rId26"/>
    <sheet name="Phân tích chỉ tiêu Mau 01.THA" sheetId="27" r:id="rId27"/>
    <sheet name="Về việc chủ động Mau 01.THA" sheetId="28" r:id="rId28"/>
  </sheets>
  <externalReferences>
    <externalReference r:id="rId31"/>
    <externalReference r:id="rId32"/>
    <externalReference r:id="rId33"/>
  </externalReferences>
  <definedNames>
    <definedName name="Nguyennhan">'[2]Nguyen_nhan'!$B$3:$B$16</definedName>
    <definedName name="TCTD">'[3]TCTD'!$C$6:$C$100</definedName>
  </definedNames>
  <calcPr fullCalcOnLoad="1"/>
</workbook>
</file>

<file path=xl/comments22.xml><?xml version="1.0" encoding="utf-8"?>
<comments xmlns="http://schemas.openxmlformats.org/spreadsheetml/2006/main">
  <authors>
    <author>AnhHT</author>
  </authors>
  <commentList>
    <comment ref="A12" authorId="0">
      <text>
        <r>
          <rPr>
            <b/>
            <sz val="8"/>
            <rFont val="Tahoma"/>
            <family val="0"/>
          </rPr>
          <t>AnhHT:</t>
        </r>
        <r>
          <rPr>
            <sz val="8"/>
            <rFont val="Tahoma"/>
            <family val="0"/>
          </rPr>
          <t xml:space="preserve">
</t>
        </r>
      </text>
    </comment>
  </commentList>
</comments>
</file>

<file path=xl/sharedStrings.xml><?xml version="1.0" encoding="utf-8"?>
<sst xmlns="http://schemas.openxmlformats.org/spreadsheetml/2006/main" count="1668" uniqueCount="739">
  <si>
    <t>10 tháng/ năm 2015</t>
  </si>
  <si>
    <t>( Từ ngày 01 tháng 10 năm 2014 đến ngày 31 tháng 7 năm 2015 )</t>
  </si>
  <si>
    <t>Nguyễn Văn Bình</t>
  </si>
  <si>
    <t>Bình Thuận, ngày 03 tháng 7 năm 2015</t>
  </si>
  <si>
    <t>10 tháng / năm 2015</t>
  </si>
  <si>
    <r>
      <t>Bình Thuận, ngày 03 tháng 7 năm 2015</t>
    </r>
    <r>
      <rPr>
        <sz val="13"/>
        <rFont val="Times New Roman"/>
        <family val="1"/>
      </rPr>
      <t xml:space="preserve">
 </t>
    </r>
    <r>
      <rPr>
        <b/>
        <sz val="13"/>
        <rFont val="Times New Roman"/>
        <family val="1"/>
      </rPr>
      <t>KT</t>
    </r>
    <r>
      <rPr>
        <sz val="13"/>
        <rFont val="Times New Roman"/>
        <family val="1"/>
      </rPr>
      <t xml:space="preserve">. </t>
    </r>
    <r>
      <rPr>
        <b/>
        <sz val="13"/>
        <rFont val="Times New Roman"/>
        <family val="1"/>
      </rPr>
      <t xml:space="preserve">CỤC TRƯỞNG </t>
    </r>
  </si>
  <si>
    <t>SỐ VIỆC, SỐ TIỀN TRONG CÁC BẢN ÁN, QUYẾT ĐỊNH TOÀ ÁN TUYÊN KHÔNG RÕ, CÓ SAI SÓT, CƠ QUAN THI HÀNH ÁN ĐÃ YÊU CẦU GIẢI THÍCH, KIẾN NGHỊ VÀ KẾT QUẢ TRẢ LỜI CỦA TÒA ÁN CÓ THẨM QUYỀN
10 tháng/ năm 2015</t>
  </si>
  <si>
    <t>SỐ VIỆC CƯỠNG CHẾ THI HÀNH ÁN KHÔNG HUY ĐỘNG LỰC LƯỢNG VÀ CÓ HUY ĐỘNG LỰC LƯỢNG
10 tháng / năm 2015</t>
  </si>
  <si>
    <t xml:space="preserve">        10 tháng/ năm 2015</t>
  </si>
  <si>
    <t>SỐ CUỘC KIỂM SÁT VÀ KẾT QUẢ  KIỂM SÁT  
10 tháng/ năm 2015</t>
  </si>
  <si>
    <t>(Từ ngày 01 tháng 10 năm 2014 đến ngày 31 tháng 07 năm 2015 )</t>
  </si>
  <si>
    <t>SỐ VIỆC, SỐ TIỀN TRONG CÁC BẢN ÁN, QUYẾT ĐỊNH KHÁNG NGHỊ  VÀ KẾT QUẢ XỬ LÝ KHÁNG NGHỊ
 CỦA TOÀ ÁN VÀ VIỆN KIỂM SÁT
10 tháng/ năm 2015</t>
  </si>
  <si>
    <t xml:space="preserve">KT. CỤC TRƯỞNG </t>
  </si>
  <si>
    <t>(Từ ngày 31/10/2014 đến ngày 31/7/2015)</t>
  </si>
  <si>
    <t>I</t>
  </si>
  <si>
    <t>II</t>
  </si>
  <si>
    <t xml:space="preserve">Tổng số
</t>
  </si>
  <si>
    <t>Số lượng</t>
  </si>
  <si>
    <t>Ghi chú</t>
  </si>
  <si>
    <t>Ngày nhận báo cáo:……………………</t>
  </si>
  <si>
    <t>Đơn vị tính: 1.000 đồng</t>
  </si>
  <si>
    <t>Số việc</t>
  </si>
  <si>
    <t xml:space="preserve"> </t>
  </si>
  <si>
    <t xml:space="preserve">Số việc
dân sự
</t>
  </si>
  <si>
    <t>Số việc có điều kiện giải quyết</t>
  </si>
  <si>
    <t>Số việc đình chỉ thi hành án</t>
  </si>
  <si>
    <t>Số việc tạm đình chỉ thi hành án</t>
  </si>
  <si>
    <t>Số việc lý do khác</t>
  </si>
  <si>
    <t>Số việc hoãn thi hành án</t>
  </si>
  <si>
    <t>Số việc hoãn theo điểm a K1 Điều 48</t>
  </si>
  <si>
    <t>Số việc hoãn theo điểm c K1 Điều 48</t>
  </si>
  <si>
    <t>Số việc hoãn theo điểm d K1 Điều 48</t>
  </si>
  <si>
    <t>Số việc hoãn theo điểm đ K1 Điều 48</t>
  </si>
  <si>
    <t>Số việc tạm đình chỉ theo Khoản 1 Điều 49</t>
  </si>
  <si>
    <t>Số việc tạm đình chỉ theo Khoản 2 Điều 49</t>
  </si>
  <si>
    <t>Số việc đình chỉ theo điểm a Khoản 1 Điều 50</t>
  </si>
  <si>
    <t>(đơn vị tính: 1000 đồng)</t>
  </si>
  <si>
    <t>Số việc đình chỉ theo điểm d Khoản 1 Điều 50</t>
  </si>
  <si>
    <t>Số việc đình chỉ theo điểm đ Khoản 1 Điều 50</t>
  </si>
  <si>
    <t>Số việc đình chỉ theo điểm e Khoản 1 Điều 50</t>
  </si>
  <si>
    <t>Số việc đình chỉ theo điểm g Khoản 1 Điều 50</t>
  </si>
  <si>
    <t>Số việc bản án tuyên không rõ, khó thi hành</t>
  </si>
  <si>
    <t>Số việc tài sản phải giao chưa xử lý được</t>
  </si>
  <si>
    <t>NGƯỜI LẬP BIỂU</t>
  </si>
  <si>
    <t>Số việc trả đơn yêu cầu thi hành án</t>
  </si>
  <si>
    <t>Số việc hoãn theo điểm b K1 Điều 48</t>
  </si>
  <si>
    <t>Số việc hoãn theo Khoản 2 Điều 48</t>
  </si>
  <si>
    <t>Số việc hoãn theo Kkoản 2 Điều 48</t>
  </si>
  <si>
    <t>Số việc đình chỉ theo điểm b Khoản 1 Điều 50</t>
  </si>
  <si>
    <t>Số việc đình chỉ theo điểm c Khoản 1 Điều 50</t>
  </si>
  <si>
    <t>Số việc đình chỉ theo điểm h Khoản 1 Điều 50</t>
  </si>
  <si>
    <t>Số việc trả đơn yêu cầu THA theo điểm a Khoản 1 Điều 51</t>
  </si>
  <si>
    <t>Số việc trả đơn yêu cầu THA theo điểm b Khoản 1 Điều 51</t>
  </si>
  <si>
    <t>Số việc trả đơn yêu cầu THA theo điểm c Khoản 1 Điều 51</t>
  </si>
  <si>
    <t xml:space="preserve"> Tổng số tiền thụ lý</t>
  </si>
  <si>
    <t xml:space="preserve"> Số tiền năm trước chuyển sang</t>
  </si>
  <si>
    <t xml:space="preserve"> Số tiền thụ lý mới</t>
  </si>
  <si>
    <t>Số tiền có điều kiện giải quyết</t>
  </si>
  <si>
    <t xml:space="preserve">Số tiền thi hành xong </t>
  </si>
  <si>
    <t>Số tiền đình chỉ thi hành án</t>
  </si>
  <si>
    <t>Số tiền ủy thác thi hành án</t>
  </si>
  <si>
    <t>Số tiền miễn thi hành án</t>
  </si>
  <si>
    <t>Số tiền giảm thi hành án</t>
  </si>
  <si>
    <t>Số tiền đang thi hành dở dang</t>
  </si>
  <si>
    <t>Số tiền chưa thi hành</t>
  </si>
  <si>
    <t>Số tiền chưa có điều kiện giải quyết</t>
  </si>
  <si>
    <t xml:space="preserve"> Số tiền hoãn thi hành án</t>
  </si>
  <si>
    <t>Số tiền tạm đình chỉ thi hành án</t>
  </si>
  <si>
    <t>Số tiền lý do khác</t>
  </si>
  <si>
    <t>Số tiền ma tuý</t>
  </si>
  <si>
    <t>Số tiền hoãn thi hành án</t>
  </si>
  <si>
    <t>Số tiền hoãn theo điểm a K1 Điều 48</t>
  </si>
  <si>
    <t>Số tiền hoãn theo điểm c K1 Điều 48</t>
  </si>
  <si>
    <t>Số tiền hoãn theo điểm d K1 Điều 48</t>
  </si>
  <si>
    <t>Số tiền hoãn theo điểm đ K1 Điều 48</t>
  </si>
  <si>
    <t>Số tiền hoãn theo Khoản 2 Điều 48</t>
  </si>
  <si>
    <t>Số tiền tạm đình chỉ theo Khoản 1 Điều 49</t>
  </si>
  <si>
    <t>Số tiền tạm đình chỉ theo Khoản 2 Điều 49</t>
  </si>
  <si>
    <t>Số tiền đình chỉ theo điểm a Khoản 1 Điều 50</t>
  </si>
  <si>
    <t>Số tiền đình chỉ theo điểm d Khoản 1 Điều 50</t>
  </si>
  <si>
    <t>Số tiền đình chỉ theo điểm đ Khoản 1 Điều 50</t>
  </si>
  <si>
    <t>Số tiền đình chỉ theo điểm e Khoản 1 Điều 50</t>
  </si>
  <si>
    <t>Số tiền đình chỉ theo điểm g Khoản 1 Điều 50</t>
  </si>
  <si>
    <t>Lý tiền do khác</t>
  </si>
  <si>
    <t>Số tiền bản án tuyên không rõ, khó thi hành</t>
  </si>
  <si>
    <t>Số tiền, tài sản phải giao chưa xử lý được</t>
  </si>
  <si>
    <t>Số tiền trả đơn yêu cầu thi hành án</t>
  </si>
  <si>
    <t>Số tiền hoãn theo điểm b K1 Điều 48</t>
  </si>
  <si>
    <t>Số tiền tạm đình chỉ Khoản 1 Điều 49</t>
  </si>
  <si>
    <t>Số tiền tạm đình chỉ Khoản 2 Điều 49</t>
  </si>
  <si>
    <t>Số tiền đình chỉ theo điểm b Khoản 1 Điều 50</t>
  </si>
  <si>
    <t>Số tiền trả đơn yêu cầu thi hành án theo điểm a Khoản 1 Điều 51</t>
  </si>
  <si>
    <t>Số tiền trả đơn yêu cầu thi hành án theo điểm b Khoản 1 Điều 51</t>
  </si>
  <si>
    <t>Số tiền trả đơn yêu cầu thi hành án theo điểm c Khoản 1 Điều 51</t>
  </si>
  <si>
    <t>Số tiền trả đơn yêu cầu thi hành án theo điểm đ Khoản 1 Điều 51</t>
  </si>
  <si>
    <t>Số bản án, quyết định  tuyên không rõ, khó thi hành</t>
  </si>
  <si>
    <t xml:space="preserve"> Số tiền đình chỉ thi hành án</t>
  </si>
  <si>
    <t xml:space="preserve"> Số tiền tạm đình chỉ thi hành án</t>
  </si>
  <si>
    <t>Số việc
thi hành
xong</t>
  </si>
  <si>
    <t xml:space="preserve">
Tổng số việc chuyển
kỳ sau</t>
  </si>
  <si>
    <t xml:space="preserve">Số tiền  thi hành 
dở dang
</t>
  </si>
  <si>
    <t xml:space="preserve">Số tiền chưa thi hành
</t>
  </si>
  <si>
    <t xml:space="preserve">Số tiền lý do khác
</t>
  </si>
  <si>
    <t xml:space="preserve">
Tổng số tiền chuyển
kỳ sau</t>
  </si>
  <si>
    <t xml:space="preserve">A
</t>
  </si>
  <si>
    <t>A</t>
  </si>
  <si>
    <t>Chia ra:</t>
  </si>
  <si>
    <t>Trang số: 01</t>
  </si>
  <si>
    <t>Trang số: 02</t>
  </si>
  <si>
    <t>Đơn vị tính: Việc</t>
  </si>
  <si>
    <t>III</t>
  </si>
  <si>
    <t xml:space="preserve">         Theo đơn yêu cầu thi hành án</t>
  </si>
  <si>
    <t>Số tiền</t>
  </si>
  <si>
    <t>Ngày nhận báo cáo:……….………………</t>
  </si>
  <si>
    <t>Ngày nhận báo cáo:……….…………………</t>
  </si>
  <si>
    <t>Số việc 
ma tuý</t>
  </si>
  <si>
    <t xml:space="preserve">Cục Thi hành án </t>
  </si>
  <si>
    <t>Các Chi cục Thi hành án</t>
  </si>
  <si>
    <t>Chi cục Thi hành án…</t>
  </si>
  <si>
    <t>Số việc chưa thống nhất ý kiến về quan điểm trong việc THA</t>
  </si>
  <si>
    <t>Số tiền, tài sản chưa thống nhất ý kiến về quan điểm về việc THA</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</si>
  <si>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</si>
  <si>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</si>
  <si>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</si>
  <si>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</si>
  <si>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</si>
  <si>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</si>
  <si>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</si>
  <si>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</si>
  <si>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</si>
  <si>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</si>
  <si>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</si>
  <si>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</si>
  <si>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</si>
  <si>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</si>
  <si>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</si>
  <si>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</si>
  <si>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</si>
  <si>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</si>
  <si>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</si>
  <si>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</si>
  <si>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</si>
  <si>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</si>
  <si>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 xml:space="preserve">Số việc 
khác </t>
  </si>
  <si>
    <t>Số việc dân sự trong
hình sự</t>
  </si>
  <si>
    <t>Theo tổ chức, cá nhân được thi hành án</t>
  </si>
  <si>
    <t>Tổng số</t>
  </si>
  <si>
    <t>Kết quả  giải quyết</t>
  </si>
  <si>
    <t xml:space="preserve"> Kết quả giải quyết</t>
  </si>
  <si>
    <t xml:space="preserve"> Số việc năm trước chuyển sang</t>
  </si>
  <si>
    <t>Số việc có điều kiện giải quyết</t>
  </si>
  <si>
    <t xml:space="preserve">Số việc thi hành xong </t>
  </si>
  <si>
    <t>Số việc đình chỉ thi hành án</t>
  </si>
  <si>
    <t>Số việc ủy thác thi hành án</t>
  </si>
  <si>
    <t>Số việc miễn thi hành án</t>
  </si>
  <si>
    <t>Số việc đang thi hành dở dang</t>
  </si>
  <si>
    <t>Số việc chưa thi hành</t>
  </si>
  <si>
    <t>Số việc chưa có điều kiện giải quyết</t>
  </si>
  <si>
    <t xml:space="preserve"> Số việc hoãn thi hành án</t>
  </si>
  <si>
    <t>Số việc tạm đình chỉ thi hành án</t>
  </si>
  <si>
    <t>Số việc lý do khác</t>
  </si>
  <si>
    <t xml:space="preserve"> Tổng số việc  thụ lý</t>
  </si>
  <si>
    <t>Số việc thụ lý</t>
  </si>
  <si>
    <t>Kết quả giải quyết</t>
  </si>
  <si>
    <t>Tống số</t>
  </si>
  <si>
    <t>Tổng số</t>
  </si>
  <si>
    <t>Tổng
 số</t>
  </si>
  <si>
    <t xml:space="preserve"> Kết quả giải quyết</t>
  </si>
  <si>
    <t xml:space="preserve">                    A</t>
  </si>
  <si>
    <t>Số tiền
khác</t>
  </si>
  <si>
    <t>Tổng số</t>
  </si>
  <si>
    <t xml:space="preserve">CHIA THEO CƠ QUAN THI HÀNH ÁN VÀ CHẤP HÀNH VIÊN </t>
  </si>
  <si>
    <t xml:space="preserve">    NGƯỜI LẬP BIỂU</t>
  </si>
  <si>
    <t>Số đã trả lời</t>
  </si>
  <si>
    <t>Số trả lời  chưa rõ</t>
  </si>
  <si>
    <t xml:space="preserve">         CỤC TRƯỞNG (CHI CỤC TRƯỞNG)</t>
  </si>
  <si>
    <t>Ngày nhận báo cáo:…………...….…</t>
  </si>
  <si>
    <t>Số tiền dân sự trong
hình sự</t>
  </si>
  <si>
    <t>Đơn vị  nhận báo cáo:…….</t>
  </si>
  <si>
    <t xml:space="preserve">Số tiền
dân sự
</t>
  </si>
  <si>
    <t xml:space="preserve">Số tiền
lao động
</t>
  </si>
  <si>
    <t xml:space="preserve">Số tiền
phá sản
</t>
  </si>
  <si>
    <t xml:space="preserve">Số tiền khác
</t>
  </si>
  <si>
    <t xml:space="preserve">Chia ra: </t>
  </si>
  <si>
    <t xml:space="preserve">Số tiền
mới thụ lý
</t>
  </si>
  <si>
    <t xml:space="preserve">Số việc mới
thụ lý
</t>
  </si>
  <si>
    <t xml:space="preserve"> Số việc mới thụ lý </t>
  </si>
  <si>
    <t xml:space="preserve"> Số tiền  mới  thụ lý</t>
  </si>
  <si>
    <t>Ghi chú:</t>
  </si>
  <si>
    <t>Số tiền thu cho Ngân sách nhà nước</t>
  </si>
  <si>
    <t xml:space="preserve">Số chưa trả lời  </t>
  </si>
  <si>
    <t xml:space="preserve"> Số việc  mới  thụ lý</t>
  </si>
  <si>
    <t>Số  việc có điều kiện giải quyết</t>
  </si>
  <si>
    <t xml:space="preserve">Số  việc
dân sự
</t>
  </si>
  <si>
    <t>Số  việc dân sự trong
hình sự</t>
  </si>
  <si>
    <t>Số  việc ma tuý</t>
  </si>
  <si>
    <t>Số việc
khác</t>
  </si>
  <si>
    <t xml:space="preserve">Số  việc
lao động
</t>
  </si>
  <si>
    <t xml:space="preserve">Số  việc
phá sản
</t>
  </si>
  <si>
    <t>Số việc trả đơn yêu cầu thi hành án</t>
  </si>
  <si>
    <t>Số việc
dân sự
trong 
hành
 chính</t>
  </si>
  <si>
    <t>Tổng việc số thụ lý</t>
  </si>
  <si>
    <t>Tổng số tiền thụ lý</t>
  </si>
  <si>
    <t xml:space="preserve">Ghi chú :  </t>
  </si>
  <si>
    <t xml:space="preserve">      - Biểu mẫu này được dùng cho Chấp hành viên, Chi cục Thi hành án dân sự và Cục Thi hành án dân sự;</t>
  </si>
  <si>
    <t xml:space="preserve">Ghi chú:  </t>
  </si>
  <si>
    <t>- Biểu này được dùng chung cho Chấp hành viên, Chi cục Thi hành án dân sự và Cục Thi hành án dân sự;</t>
  </si>
  <si>
    <t>- Điểm 5.1 chỉ thống kê những việc cơ quan chưa ra quyết định hoãn thi hành án.</t>
  </si>
  <si>
    <t xml:space="preserve">Số việc khác
</t>
  </si>
  <si>
    <t>Số việc trả đơn yêu cầu THA theo điểm d Khoản 1 Điều 51</t>
  </si>
  <si>
    <t xml:space="preserve">Tổng số
</t>
  </si>
  <si>
    <t>Số tiền đình chỉ theo điểm c Khoản 1 Điều 51</t>
  </si>
  <si>
    <t>1</t>
  </si>
  <si>
    <t>2</t>
  </si>
  <si>
    <t>3</t>
  </si>
  <si>
    <t xml:space="preserve">    - Biểu này được dùng cho Chi cục Thi hành án dân sự và cục Thi hành án dân sự;</t>
  </si>
  <si>
    <t xml:space="preserve">
Tổng số
</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</si>
  <si>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</si>
  <si>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</si>
  <si>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</si>
  <si>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Chủ  động thi hành án</t>
  </si>
  <si>
    <t>- Cột 1= cột 2 + cột 3 + cột 6 + cột 7 + cột 8 + cột 9 + cột 10 + cột 11.</t>
  </si>
  <si>
    <t>- Cột 3= cột 4 + cột 5 .</t>
  </si>
  <si>
    <t>- Đối với việc ủy thác thi hành án chỉ thống kê đối với việc đã ra quyết định ủy thác thi hành án;</t>
  </si>
  <si>
    <t xml:space="preserve"> - Cột 1= cột 2 + cột 3 + cột 6 + cột 7 + cột 8 + cột 9 + cột 10 + cột 11.</t>
  </si>
  <si>
    <r>
      <t>Ghi chú</t>
    </r>
    <r>
      <rPr>
        <i/>
        <sz val="10"/>
        <rFont val="Times New Roman"/>
        <family val="1"/>
      </rPr>
      <t xml:space="preserve">:  </t>
    </r>
  </si>
  <si>
    <t xml:space="preserve"> - Cột 3= cột 4 + cột 5 .</t>
  </si>
  <si>
    <t xml:space="preserve"> - Cột 1= cột 2 + cột 3 + cột 6 + cột 7 + cột 8 + cột 9 + cột 10 + cột 11;</t>
  </si>
  <si>
    <r>
      <t>Ghi chú</t>
    </r>
    <r>
      <rPr>
        <i/>
        <sz val="12"/>
        <rFont val="Times New Roman"/>
        <family val="1"/>
      </rPr>
      <t xml:space="preserve">: </t>
    </r>
  </si>
  <si>
    <t xml:space="preserve"> - Cột 3= cột 4 + cột 5.</t>
  </si>
  <si>
    <r>
      <t xml:space="preserve">- Đối với số tiền ủy thác thi hành án chỉ thống kê đối với số tiền đã ra quyết định ủy thác </t>
    </r>
    <r>
      <rPr>
        <i/>
        <sz val="12"/>
        <rFont val="Times New Roman"/>
        <family val="1"/>
      </rPr>
      <t>thi hành án;</t>
    </r>
  </si>
  <si>
    <r>
      <t>Ghi chú</t>
    </r>
    <r>
      <rPr>
        <i/>
        <sz val="11"/>
        <rFont val="Times New Roman"/>
        <family val="1"/>
      </rPr>
      <t xml:space="preserve">:  </t>
    </r>
  </si>
  <si>
    <t xml:space="preserve">       - Cột 1= cột 2 + cột 3 + cột 6 + cột 7 + cột 8 + cột 9 + cột 10 + cột 11;</t>
  </si>
  <si>
    <t xml:space="preserve"> - Cột 3= cột 4 + cột 5. </t>
  </si>
  <si>
    <t xml:space="preserve">                               Nguyễn Văn Bình</t>
  </si>
  <si>
    <r>
      <t xml:space="preserve">                             Bình Thuận, ngày 03 tháng 8 năm 2015</t>
    </r>
    <r>
      <rPr>
        <sz val="13"/>
        <rFont val="Times New Roman"/>
        <family val="1"/>
      </rPr>
      <t xml:space="preserve">
                                 </t>
    </r>
    <r>
      <rPr>
        <b/>
        <sz val="13"/>
        <rFont val="Times New Roman"/>
        <family val="1"/>
      </rPr>
      <t xml:space="preserve"> KT</t>
    </r>
    <r>
      <rPr>
        <sz val="13"/>
        <rFont val="Times New Roman"/>
        <family val="1"/>
      </rPr>
      <t xml:space="preserve">. </t>
    </r>
    <r>
      <rPr>
        <b/>
        <sz val="13"/>
        <rFont val="Times New Roman"/>
        <family val="1"/>
      </rPr>
      <t xml:space="preserve">CỤC TRƯỞNG </t>
    </r>
  </si>
  <si>
    <t>Bình Thuận, ngày 03 Tháng 8 năm 2015</t>
  </si>
  <si>
    <t>( Từ ngày 01 tháng 10 năm 2013 đến ngày 31 tháng 7 năm 2015 )</t>
  </si>
  <si>
    <t xml:space="preserve">    Bình Thuận, ngày 03 tháng 8 năm 2015</t>
  </si>
  <si>
    <r>
      <t>Bình Thuận, ngày 03 tháng 8 năm 2015</t>
    </r>
    <r>
      <rPr>
        <sz val="13"/>
        <rFont val="Times New Roman"/>
        <family val="1"/>
      </rPr>
      <t xml:space="preserve">
</t>
    </r>
    <r>
      <rPr>
        <b/>
        <sz val="13"/>
        <rFont val="Times New Roman"/>
        <family val="1"/>
      </rPr>
      <t>NGƯỜI LẬP BIỂU</t>
    </r>
  </si>
  <si>
    <t xml:space="preserve">         Bình Thuận, ngày 03 tháng 8 năm 2015</t>
  </si>
  <si>
    <r>
      <t>Bình Thuận, ngày 03 tháng 8 năm 2015</t>
    </r>
    <r>
      <rPr>
        <sz val="13"/>
        <rFont val="Times New Roman"/>
        <family val="1"/>
      </rPr>
      <t xml:space="preserve">
</t>
    </r>
    <r>
      <rPr>
        <b/>
        <sz val="13"/>
        <rFont val="Times New Roman"/>
        <family val="1"/>
      </rPr>
      <t xml:space="preserve">NGƯỜI LẬP BIỂU
</t>
    </r>
  </si>
  <si>
    <t>- Đối với số tiền ủy thác thi hành án chỉ thống kê đối với số tiền đã ra quyết định ủy thác thi hành án;</t>
  </si>
  <si>
    <t>- Điểm 5.1 chỉ thống kê số tiền cơ quan chưa ra quyết định hoãn thi hành án.</t>
  </si>
  <si>
    <t xml:space="preserve">     - Cột 2= cột 2 + cột 4 + cột 5.</t>
  </si>
  <si>
    <t xml:space="preserve">     - Cột 1= cột 2 + cột 6 + cột 7;</t>
  </si>
  <si>
    <t xml:space="preserve">     - Chỉ  thống kê đối với tiền uỷ thác đã ra quyết định ủy thác thi hành án;  </t>
  </si>
  <si>
    <t>Số 
năm trước
chuyển sang</t>
  </si>
  <si>
    <t xml:space="preserve">    - Đối với số việc ủy thác chỉ thống kê đối với việc đã ra quyết định ủy thác thi hành án;</t>
  </si>
  <si>
    <t>Số tiền thụ lý</t>
  </si>
  <si>
    <t>Số tiền chưa có điều kiện
 giải quyết</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</si>
  <si>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</si>
  <si>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</si>
  <si>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</si>
  <si>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Số tiền đình chỉ tại điểm 1.2, Mục II không bao gồm số tiền miễn,giảm tại điểm 1.4, 1.5 Mục II;</t>
  </si>
  <si>
    <t>- Điểm 4.1 chỉ thống kê số tiền cơ quan chưa ra quyết định hoãn thi hành án.</t>
  </si>
  <si>
    <t>Số tiền
năm trước  chuyển sang</t>
  </si>
  <si>
    <t xml:space="preserve"> - Cột 1= cột 2+ cột 3; cột 8= cột 9+10; cột 3=cột 4+ cột 5+cột 6, cột 10= cột 11+ cột 12.</t>
  </si>
  <si>
    <t>Số tiền thi hành
xong</t>
  </si>
  <si>
    <t>Số tiền  trả đơn
yêu cầu</t>
  </si>
  <si>
    <t>Số việc chưa có điều
 kiện giải quyết</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</si>
  <si>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</si>
  <si>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</si>
  <si>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</si>
  <si>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Số việc
kinh doanh và thương mại</t>
  </si>
  <si>
    <t xml:space="preserve">Tổng số 
</t>
  </si>
  <si>
    <t>Số việc
kinh doanh và thương mại</t>
  </si>
  <si>
    <t>Số việc
lao động</t>
  </si>
  <si>
    <t>Số việc
phá sản</t>
  </si>
  <si>
    <t>Số việc khác</t>
  </si>
  <si>
    <t>Số việc
dân sự
trong hành chính</t>
  </si>
  <si>
    <t>Số tiền
kinh doanh và thương mại</t>
  </si>
  <si>
    <t>Số tiền hôn 
nhân
 và
 gia đình</t>
  </si>
  <si>
    <t>Số tiền
dân sự
trong 
hành
 chính</t>
  </si>
  <si>
    <t>Chỉ tiêu</t>
  </si>
  <si>
    <t>Số tiền
lao động</t>
  </si>
  <si>
    <t>Số tiền
phá sản</t>
  </si>
  <si>
    <t>Số tiền khác</t>
  </si>
  <si>
    <t xml:space="preserve">Tên chỉ tiêu
</t>
  </si>
  <si>
    <t>Số việc thi hành 
dở dang</t>
  </si>
  <si>
    <t>Số việc chưa thi hành</t>
  </si>
  <si>
    <t xml:space="preserve">
Số việc miễn thi hành án</t>
  </si>
  <si>
    <t>Số việc trả đơn
yêu cầu thi hành án</t>
  </si>
  <si>
    <t>Số
 việc hoãn
thi hành án</t>
  </si>
  <si>
    <t>Số việc đình chỉ
thi hành án</t>
  </si>
  <si>
    <t>Số việc
ủy thác thi hành án</t>
  </si>
  <si>
    <t>Số tiền tạm đình chỉ
thi hành án</t>
  </si>
  <si>
    <t xml:space="preserve">
Số tiền hoãn
thi hành án</t>
  </si>
  <si>
    <t xml:space="preserve">
Số tiền miễn, giảm
thi hành án dân sự
</t>
  </si>
  <si>
    <t>Số tiền  đình chỉ
thi hành án</t>
  </si>
  <si>
    <t xml:space="preserve">
Số tiền ủy thác thi hành án
</t>
  </si>
  <si>
    <t xml:space="preserve">Tổng số
</t>
  </si>
  <si>
    <t>Số việc giảm thi hành án</t>
  </si>
  <si>
    <t>Số việc hoãn thi hành án</t>
  </si>
  <si>
    <t>Tên đơn vị</t>
  </si>
  <si>
    <t xml:space="preserve"> Số tiền lý do khác</t>
  </si>
  <si>
    <t>4</t>
  </si>
  <si>
    <t>5</t>
  </si>
  <si>
    <t>6</t>
  </si>
  <si>
    <t>7</t>
  </si>
  <si>
    <t>8</t>
  </si>
  <si>
    <t>9</t>
  </si>
  <si>
    <t>Tỷ lệ số việc giải quyết xong/Số việc có  điều kiện giải quyết(%)</t>
  </si>
  <si>
    <t>Tỷ lệ số giải quyết xong/số có  điều kiện giải quyết(%)</t>
  </si>
  <si>
    <t>KẾT QUẢ THI HÀNH ÁN DÂN SỰ TÍNH BẰNG TIỀN</t>
  </si>
  <si>
    <t xml:space="preserve">         KẾT QUẢ THI HÀNH ÁN DÂN SỰ TÍNH BẰNG TIỀN</t>
  </si>
  <si>
    <t xml:space="preserve"> KẾT QUẢ THI HÀNH ÁN DÂN SỰ TÍNH BẰNG TIỀN </t>
  </si>
  <si>
    <t>Tỷ lệ: tiền
 giải quyết xong/ tiền có điều kiện giải quyết    ( %)</t>
  </si>
  <si>
    <t xml:space="preserve">Số tiền trong các bản án, quyết định có căn cứ giám đốc thẩm, tái  thẩm          </t>
  </si>
  <si>
    <t>Ngày nhận báo cáo….……</t>
  </si>
  <si>
    <t>PHÂN TÍCH MỘT SỐ TIÊU CHÍ TẠI TRANG 1
 VIỆC THI HÀNH ÁN DÂN SỰ CHỦ ĐỘNG</t>
  </si>
  <si>
    <t xml:space="preserve">VIỆC THI HÀNH ÁN DÂN SỰ THEO ĐƠN YÊU CẦU </t>
  </si>
  <si>
    <t>PHÂN TÍCH MỘT SỐ TIÊU CHÍ TẠI TRANG 1</t>
  </si>
  <si>
    <t>Tỷ lệ số giải quyết xong/Số có  điều kiện giải quyết(%)</t>
  </si>
  <si>
    <t>Tỷ lệ số giải quyết xong/Số có  điều kiện giải quyết( %)</t>
  </si>
  <si>
    <t>TIỀN THI HÀNH ÁN DÂN SỰCHỦ ĐỘNG</t>
  </si>
  <si>
    <t xml:space="preserve">PHÂN TÍCH MỘT SỐ TIÊU CHÍ TẠI TRANG 1
 TIỀN THI HÀNH ÁN DÂN SỰ THEO ĐƠN YÊU CẦU </t>
  </si>
  <si>
    <t>Số tiền  thu  án phí</t>
  </si>
  <si>
    <t>Số tiền  thu  
 phạt</t>
  </si>
  <si>
    <t>Số tiền  thu tịch thu, truy thu,
sung công</t>
  </si>
  <si>
    <t xml:space="preserve">Số tiền  thu 
 khác
</t>
  </si>
  <si>
    <t>Tỷ lệ: việc
 giải quyết xong/ việc
có điều kiện giải quyết
( %)</t>
  </si>
  <si>
    <t>Đơn vị tính: .1000 đồng</t>
  </si>
  <si>
    <t>Đơn vị tính: Việc  và  1.000 đồng</t>
  </si>
  <si>
    <t xml:space="preserve"> KẾT QUẢ THI HÀNH ÁN DÂN SỰ TÍNH BẰNG VIỆC</t>
  </si>
  <si>
    <t xml:space="preserve">   KẾT QUẢ THI HÀNH ÁN DÂN SỰ TÍNH BẰNG VIỆC </t>
  </si>
  <si>
    <t>KẾT QUẢ THI HÀNH ÁN DÂN SỰ TÍNH BẲNG VIỆC</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</si>
  <si>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</si>
  <si>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</si>
  <si>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</si>
  <si>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</si>
  <si>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</si>
  <si>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</si>
  <si>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</si>
  <si>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</si>
  <si>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</si>
  <si>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</si>
  <si>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</si>
  <si>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Tổng số việc đã đề nghị đính chính, giải thích</t>
  </si>
  <si>
    <t>Kết quả trả lời của cơ quan có
thẩm quyền</t>
  </si>
  <si>
    <t xml:space="preserve">Tổng số tiền đã đề nghị đính chính, giải thích
</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</si>
  <si>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</si>
  <si>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</si>
  <si>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</si>
  <si>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</si>
  <si>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</si>
  <si>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</si>
  <si>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</si>
  <si>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</si>
  <si>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</si>
  <si>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việc và số tiền  đã  đề nghị Tòa án xét miễn, giảm nghĩa vụ thi hành án dân sự</t>
  </si>
  <si>
    <t>SỐ VIỆC ĐỀ NGHỊ TÒA ÁN XÉT MIỄN, GIẢM VÀ KẾT QUẢ XÉT MIỄN, GIẢM NGHĨA VỤ THI HÀNH ÁN DÂN SỰ</t>
  </si>
  <si>
    <t>Tổng số đã
 xét miễn, giảm</t>
  </si>
  <si>
    <t>Tổng số đã đề nghị xét miễn, giảm</t>
  </si>
  <si>
    <t>Số đã đề nghị xét miễn</t>
  </si>
  <si>
    <t>Số  đã xét miễn</t>
  </si>
  <si>
    <t>Số việc và tiền  đã  đề nghị Tòa án xét
miễn nghĩa vụ thi hành án dân sự
 và kết quản xét miễn</t>
  </si>
  <si>
    <t>Số việc và tiền  đã  đề nghị Tòa án xét
giảm nghĩa vụ thi hành án dân sự
và kết quả xét giảm</t>
  </si>
  <si>
    <t>Số  đã đề nghị giảm</t>
  </si>
  <si>
    <t>Số đã giảm</t>
  </si>
  <si>
    <t>Số tiền  thu   cho
 cá nhân cơ quan, tổ chức</t>
  </si>
  <si>
    <t>Các Chi  cục THADS</t>
  </si>
  <si>
    <t xml:space="preserve">
Tổng số việc đã ra quyết định cưỡng chế
</t>
  </si>
  <si>
    <t>Số việc cưỡng chế không huy động lực lượng</t>
  </si>
  <si>
    <t>Số việc cưỡng chế có huy động lực lượng</t>
  </si>
  <si>
    <t>Kết quả cưỡng chế</t>
  </si>
  <si>
    <t>Tổng số việc cưỡng chế có huy động lực lượng</t>
  </si>
  <si>
    <t>Ban hành theo TT số: 01/2013/TT-BTP</t>
  </si>
  <si>
    <t>ngày 03 tháng 01 năm 2013</t>
  </si>
  <si>
    <t xml:space="preserve">
Ban hành kèm theo TT số 01/2013/TT-BTP ngày 03 tháng 01 năm 2013
</t>
  </si>
  <si>
    <t>Ban hành kèm theo TT số 01/2013/TT-BTP</t>
  </si>
  <si>
    <t>Biểu số: 10/TK-THA</t>
  </si>
  <si>
    <t>Ngày nhận báo cáo:………………...…</t>
  </si>
  <si>
    <t xml:space="preserve"> Đơn vị tính: Việc</t>
  </si>
  <si>
    <t>Số việc đã ra quyết định cưỡng chế</t>
  </si>
  <si>
    <t xml:space="preserve">Đơn vị báo cáo:  </t>
  </si>
  <si>
    <t xml:space="preserve">Đơn vị  nhận báo cáo: </t>
  </si>
  <si>
    <t>Đơn vị báo cáo:</t>
  </si>
  <si>
    <t>Đơn vị nhận báo cáo:</t>
  </si>
  <si>
    <t>Đơn vị gửi báo cáo:</t>
  </si>
  <si>
    <t xml:space="preserve"> Đơn vị gửi báo cáo:</t>
  </si>
  <si>
    <t xml:space="preserve">Đơn vị báo cáo: </t>
  </si>
  <si>
    <t>Đơn vị  nhận báo cáo:</t>
  </si>
  <si>
    <t xml:space="preserve"> HÌNH PHẠT TÙ TẠI TRẠI GIAM, TRẠI TẠM GIAM 10 THÁNG NĂM 2015</t>
  </si>
  <si>
    <t>Bình Thuận, ngày 03 tháng 8 năm 2015</t>
  </si>
  <si>
    <r>
      <t>Bình Thuận, ngày 03 tháng 8 năm 2015</t>
    </r>
    <r>
      <rPr>
        <b/>
        <sz val="13"/>
        <rFont val="Times New Roman"/>
        <family val="1"/>
      </rPr>
      <t xml:space="preserve">
 KT. CỤC TRƯỞNG 
</t>
    </r>
  </si>
  <si>
    <r>
      <t>Bình Thuận, ngày 03 tháng 8 năm 2015</t>
    </r>
    <r>
      <rPr>
        <sz val="13"/>
        <rFont val="Times New Roman"/>
        <family val="1"/>
      </rPr>
      <t xml:space="preserve">
</t>
    </r>
    <r>
      <rPr>
        <b/>
        <sz val="13"/>
        <rFont val="Times New Roman"/>
        <family val="1"/>
      </rPr>
      <t xml:space="preserve">NGƯỜI LẬP BIỂU
</t>
    </r>
    <r>
      <rPr>
        <sz val="13"/>
        <rFont val="Times New Roman"/>
        <family val="1"/>
      </rPr>
      <t xml:space="preserve">
</t>
    </r>
  </si>
  <si>
    <t>Bình Thuận ,ngày 03 tháng 8 năm 2015</t>
  </si>
  <si>
    <t>Cục THADS tỉnh Bình Thuận</t>
  </si>
  <si>
    <t>Tổng cục THADS - Bộ Tư pháp</t>
  </si>
  <si>
    <t>Trần Quốc Bảo</t>
  </si>
  <si>
    <t>Tổng cục THADS- Bộ Tư Pháp</t>
  </si>
  <si>
    <t>Tổng cục THADS- Bộ Tư pháp</t>
  </si>
  <si>
    <t>Cục THADS tỉnh</t>
  </si>
  <si>
    <t>Nguyễn Hồng Nga</t>
  </si>
  <si>
    <t>Nguyễn Thị Kim Yến</t>
  </si>
  <si>
    <t>Ngô Minh Thành</t>
  </si>
  <si>
    <t>Trần Thanh Lương</t>
  </si>
  <si>
    <t>Hà Vi Tùng</t>
  </si>
  <si>
    <t>Lữ Văn Quí</t>
  </si>
  <si>
    <t xml:space="preserve"> THADS TP Phan Thiết</t>
  </si>
  <si>
    <t>Trần Thị Thanh Nga</t>
  </si>
  <si>
    <t>Trần Đức Tín</t>
  </si>
  <si>
    <t>Ngô Trí Hùng</t>
  </si>
  <si>
    <t>Trương Quang Hy</t>
  </si>
  <si>
    <t>Lê Tấn Dũng</t>
  </si>
  <si>
    <t>Ng. Kiều Khánh Trang</t>
  </si>
  <si>
    <t>Đinh Đình Hiền</t>
  </si>
  <si>
    <t>Võ Văn Hiếu</t>
  </si>
  <si>
    <t>Nguyễn Thanh Tùng</t>
  </si>
  <si>
    <t xml:space="preserve"> THADS TX Lagi</t>
  </si>
  <si>
    <t>Trần Văn Ba</t>
  </si>
  <si>
    <t>Trần Thanh An</t>
  </si>
  <si>
    <t>Hồ Thị Khánh Huệ</t>
  </si>
  <si>
    <t xml:space="preserve"> THADS H. Tuy Phong</t>
  </si>
  <si>
    <t>Trần Khắc Minh</t>
  </si>
  <si>
    <t>Trần Sơn</t>
  </si>
  <si>
    <t>Nguyễn Thái Thường</t>
  </si>
  <si>
    <t>Lý Văn Mây</t>
  </si>
  <si>
    <t>Cao Thị Diệu Huyền</t>
  </si>
  <si>
    <t xml:space="preserve"> THADS H. Bắc Bình</t>
  </si>
  <si>
    <t>Tiền Minh Sướng</t>
  </si>
  <si>
    <t>Lê Văn Hoàng</t>
  </si>
  <si>
    <t>Võ Duy Giáp</t>
  </si>
  <si>
    <t>Trần Trương Thọ</t>
  </si>
  <si>
    <t>Huỳnh Thảo Huy</t>
  </si>
  <si>
    <t xml:space="preserve"> THADS H. Đức Linh</t>
  </si>
  <si>
    <t>Huỳnh Tấn Tài</t>
  </si>
  <si>
    <t>Nguyễn Thị Hoà</t>
  </si>
  <si>
    <t xml:space="preserve"> THADS H. Tánh Linh</t>
  </si>
  <si>
    <t>Nguyễn Văn Lập</t>
  </si>
  <si>
    <t>Lê Ngọc Thiện</t>
  </si>
  <si>
    <t xml:space="preserve"> THADS H. Hàm .T. Bắc</t>
  </si>
  <si>
    <t>Phan Văn Lại</t>
  </si>
  <si>
    <t>Hồ Triều Châu</t>
  </si>
  <si>
    <t>Lê Ngọc Phách</t>
  </si>
  <si>
    <t>Trần Thị Loan</t>
  </si>
  <si>
    <t>Thông Thị Kiến</t>
  </si>
  <si>
    <t xml:space="preserve"> THADS H. Hàm .T. Nam</t>
  </si>
  <si>
    <t>Nguyễn Xuân Kiều</t>
  </si>
  <si>
    <t>Nguyễn Thành Nhân</t>
  </si>
  <si>
    <t>Phạm Thị Sáng</t>
  </si>
  <si>
    <t xml:space="preserve"> THADS H. Hàm Tân</t>
  </si>
  <si>
    <t xml:space="preserve"> THADS H. Phú Quý</t>
  </si>
  <si>
    <t>Nguyễn Thị Ngữ</t>
  </si>
  <si>
    <t>Nguyễn Thị Thanh Miền</t>
  </si>
  <si>
    <t>Chi cục THADS TP Phan Thiết</t>
  </si>
  <si>
    <t>Chi cục THADS TX Lagi</t>
  </si>
  <si>
    <t>Chi cục THADS H. Tuy Phong</t>
  </si>
  <si>
    <t>Chi cục THADS H. Bắc Bình</t>
  </si>
  <si>
    <t>Chi cục THADS H. Đức Linh</t>
  </si>
  <si>
    <t>Chi cục THADS H. Tánh Linh</t>
  </si>
  <si>
    <t>Chi cục THADS H. Hàm T.Bắc</t>
  </si>
  <si>
    <t>Chi cục THADS H. Hàm T. Nam</t>
  </si>
  <si>
    <t>Chi cục THADS H. Hàm Tân</t>
  </si>
  <si>
    <t>Chi cục THADS H. Phú Quý</t>
  </si>
  <si>
    <r>
      <t>Cục THADS tỉnh Bình Thuận</t>
    </r>
    <r>
      <rPr>
        <sz val="12"/>
        <rFont val="Times New Roman"/>
        <family val="1"/>
      </rPr>
      <t xml:space="preserve">
Đơn vị nhận báo cáo:</t>
    </r>
  </si>
  <si>
    <t>Tổng Cục THADS- Bộ Tư Pháp</t>
  </si>
  <si>
    <t xml:space="preserve"> Biểu số: 11/TK-THA</t>
  </si>
  <si>
    <t>KHIẾU NẠI VÀ GIẢI QUYẾT KHIẾU NẠI TRONG THI HÀNH ÁN DÂN SỰ</t>
  </si>
  <si>
    <t xml:space="preserve"> Ban hành kèm theo TT số: 01/2013/TT-BTP</t>
  </si>
  <si>
    <t xml:space="preserve"> Ngày nhận báo cáo:………………...…</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</si>
  <si>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</si>
  <si>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</si>
  <si>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</si>
  <si>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</si>
  <si>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</si>
  <si>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</si>
  <si>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</si>
  <si>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</si>
  <si>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</si>
  <si>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</si>
  <si>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</si>
  <si>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</si>
  <si>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</si>
  <si>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Chia ra;</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</si>
  <si>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</si>
  <si>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</si>
  <si>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</si>
  <si>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</si>
  <si>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</si>
  <si>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</si>
  <si>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</si>
  <si>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mói nhận</t>
  </si>
  <si>
    <t xml:space="preserve">            A</t>
  </si>
  <si>
    <t xml:space="preserve">   NGƯỜI LẬP BIỂU</t>
  </si>
  <si>
    <t xml:space="preserve"> ngày 03 tháng 01 năm 2013</t>
  </si>
  <si>
    <t xml:space="preserve"> Biểu số: 12/TK-THA</t>
  </si>
  <si>
    <t>TỐ CÁO VÀ GIẢI QUYẾT TỐ CÁO TRONG THI HÀNH ÁN DÂN SỰ</t>
  </si>
  <si>
    <t>Đơn vị tính: việc và  đơn</t>
  </si>
  <si>
    <t xml:space="preserve">Tổng số đơn tiếp nhận
( Đơn)
</t>
  </si>
  <si>
    <t>Số việc tiếp nhận( Việc)</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</si>
  <si>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</si>
  <si>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</si>
  <si>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</si>
  <si>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</si>
  <si>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</si>
  <si>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</si>
  <si>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</si>
  <si>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</si>
  <si>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</si>
  <si>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</si>
  <si>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</si>
  <si>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</si>
  <si>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</si>
  <si>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</si>
  <si>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</si>
  <si>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</si>
  <si>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</si>
  <si>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</si>
  <si>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</si>
  <si>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</si>
  <si>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Cục Thi hành án DS </t>
  </si>
  <si>
    <t>KẾT QUẢ THỰC HIỆN CHỈ TIÊU BIÊN CHẾ VÀ CƠ CẤU
CÔNG CHỨC CỦA CƠ QUAN THI HÀNH ÁN DÂN SỰ</t>
  </si>
  <si>
    <t>Ban hành kèm theo TT số: 01/2013/TT-BTP</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</si>
  <si>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</si>
  <si>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</si>
  <si>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</si>
  <si>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</si>
  <si>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</si>
  <si>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</si>
  <si>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</si>
  <si>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</si>
  <si>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</si>
  <si>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</si>
  <si>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</si>
  <si>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</si>
  <si>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</si>
  <si>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</si>
  <si>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So cấp</t>
  </si>
  <si>
    <t>TTr VCC</t>
  </si>
  <si>
    <t>TTrVC</t>
  </si>
  <si>
    <t xml:space="preserve">TTr viên </t>
  </si>
  <si>
    <t>Thư ký</t>
  </si>
  <si>
    <t>CV
CC</t>
  </si>
  <si>
    <t>CVC</t>
  </si>
  <si>
    <t xml:space="preserve">CV
</t>
  </si>
  <si>
    <t xml:space="preserve">                          ……………., ngày…… tháng….... năm ………</t>
  </si>
  <si>
    <t xml:space="preserve">  NGƯỜI LẬP BIỂU</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</si>
  <si>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</si>
  <si>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</si>
  <si>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</si>
  <si>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</si>
  <si>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</si>
  <si>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</si>
  <si>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</si>
  <si>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</si>
  <si>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</si>
  <si>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</si>
  <si>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</si>
  <si>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</si>
  <si>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</si>
  <si>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</si>
  <si>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</si>
  <si>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</si>
  <si>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</si>
  <si>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</si>
  <si>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</si>
  <si>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</si>
  <si>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</si>
  <si>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</si>
  <si>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</si>
  <si>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Biểu số: 15/TK-THA</t>
  </si>
  <si>
    <t>Ban hành kèm theo TT số 01/2013/TT-BTP ngày 03 tháng 01 năm 2013</t>
  </si>
  <si>
    <t>Ngày nhận báo cáo:….……………...…</t>
  </si>
  <si>
    <t>Đơn vị tính: Cuộc giám sát</t>
  </si>
  <si>
    <t xml:space="preserve">Chia theo cơ quan tiến hành giám sát </t>
  </si>
  <si>
    <t>Chia theo kết quả giám sát</t>
  </si>
  <si>
    <t>Kết quả thực hiện kết luận giám sát</t>
  </si>
  <si>
    <t>Quốc hội</t>
  </si>
  <si>
    <t>Hội đồng nhân dân</t>
  </si>
  <si>
    <t>Mặt trận Tổ Quốc</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</si>
  <si>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</si>
  <si>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</si>
  <si>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</si>
  <si>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</si>
  <si>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</si>
  <si>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</si>
  <si>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</si>
  <si>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r>
      <t xml:space="preserve">Đơn vị gửi báo cáo:                             </t>
    </r>
    <r>
      <rPr>
        <sz val="9"/>
        <rFont val="Times New Roman"/>
        <family val="1"/>
      </rPr>
      <t xml:space="preserve">               </t>
    </r>
    <r>
      <rPr>
        <sz val="11"/>
        <rFont val="Times New Roman"/>
        <family val="1"/>
      </rPr>
      <t xml:space="preserve"> </t>
    </r>
    <r>
      <rPr>
        <b/>
        <sz val="11"/>
        <rFont val="Times New Roman"/>
        <family val="1"/>
      </rPr>
      <t>Cục THADS tỉnh Bình Thuận</t>
    </r>
  </si>
  <si>
    <r>
      <t xml:space="preserve">Đơn vị nhận báo cáo:                                           </t>
    </r>
    <r>
      <rPr>
        <b/>
        <sz val="11"/>
        <rFont val="Times New Roman"/>
        <family val="1"/>
      </rPr>
      <t>Tổng cục THADS- Bộ Tư pháp</t>
    </r>
  </si>
  <si>
    <t>Biểu số: 16/TK-THA</t>
  </si>
  <si>
    <t>Đơn vị tính: Cuộc</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</si>
  <si>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</si>
  <si>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</si>
  <si>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</si>
  <si>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</si>
  <si>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</si>
  <si>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</si>
  <si>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</si>
  <si>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</si>
  <si>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</si>
  <si>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</si>
  <si>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</si>
  <si>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Biểu số: 17/TK-THA</t>
  </si>
  <si>
    <t>Đơn vị tính: việc và  1.000 đồng</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</si>
  <si>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</si>
  <si>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</si>
  <si>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</si>
  <si>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</si>
  <si>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</si>
  <si>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</si>
  <si>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Số việc và số tiền bị
kháng nghị</t>
  </si>
  <si>
    <t>Số
 việc</t>
  </si>
  <si>
    <t>Số
 tiền</t>
  </si>
  <si>
    <t>Chấp nhận
toàn bộ</t>
  </si>
  <si>
    <t>Chấp nhận
một phần</t>
  </si>
  <si>
    <t>Không chấp nhận</t>
  </si>
  <si>
    <t>Số 
việc</t>
  </si>
  <si>
    <t xml:space="preserve">Chấp nhận một phần </t>
  </si>
  <si>
    <t xml:space="preserve">Không chấp nhận </t>
  </si>
  <si>
    <t>Biểu số: 18/TK-THA</t>
  </si>
  <si>
    <t>SỐ VIỆC, SỐ TIỀN BỒI THƯỜNG CỦA NHÀ NƯỚC</t>
  </si>
  <si>
    <t>TRONG THI HÀNH ÁN DÂN SỰ</t>
  </si>
  <si>
    <t>Đơn vị tính: Việc và 1.000 đồng</t>
  </si>
  <si>
    <t xml:space="preserve">Số việc và số tiền bồi thường của nhà nước trong THADS được thụ lý </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</si>
  <si>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</si>
  <si>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</si>
  <si>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</si>
  <si>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</si>
  <si>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</si>
  <si>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</si>
  <si>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</si>
  <si>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Biểu số: 19/TK-THA</t>
  </si>
  <si>
    <t>SỐ VIỆC ĐÔN ĐỐC THI HÀNH ÁN HÀNH CHÍNH</t>
  </si>
  <si>
    <t xml:space="preserve"> Ban hành theo TT số: 01/2013/TT-BTP</t>
  </si>
  <si>
    <t xml:space="preserve">
….tháng, năm 20.…….
</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</si>
  <si>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</si>
  <si>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</si>
  <si>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</si>
  <si>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</si>
  <si>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</si>
  <si>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</si>
  <si>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</si>
  <si>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</si>
  <si>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</si>
  <si>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</si>
  <si>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Tổng Số</t>
  </si>
  <si>
    <t>Đơn vị tính:Việc</t>
  </si>
  <si>
    <t>Cục Thi hành án DS tỉnh</t>
  </si>
  <si>
    <t xml:space="preserve"> Đơn vị tính: 1.000  đồng</t>
  </si>
  <si>
    <t>Số việc hôn nhân và 
gia đình</t>
  </si>
  <si>
    <t>Số  việc
 hôn nhân
 và
 gia đình</t>
  </si>
  <si>
    <t xml:space="preserve"> Đơn vị tính Việc và 1.000  đồng</t>
  </si>
  <si>
    <t>Nguyễn Đức Minh</t>
  </si>
  <si>
    <t>Nguyễn T. Thanh Miền</t>
  </si>
  <si>
    <t xml:space="preserve"> Biểu số: 13/TK-THA</t>
  </si>
  <si>
    <t>Nguyễn Văn Thành</t>
  </si>
  <si>
    <t>Qua Đình Thiện</t>
  </si>
  <si>
    <t>Nguyễn Chí Lập</t>
  </si>
  <si>
    <t>Lê Văn Cao</t>
  </si>
  <si>
    <t>Nguyễn Thanh Cao</t>
  </si>
  <si>
    <t>Nguyễn Linh Giang</t>
  </si>
  <si>
    <t>Hoàng Văn Phụng</t>
  </si>
  <si>
    <t>Nguyễn Văn Tiến</t>
  </si>
  <si>
    <t>Hồ Sỹ Thông</t>
  </si>
  <si>
    <t>PHÓ CỤC TRƯỞNG</t>
  </si>
  <si>
    <t xml:space="preserve">                                 PHÓ CỤC TRƯỞNG</t>
  </si>
  <si>
    <t xml:space="preserve"> KT. CỤC TRƯỞNG </t>
  </si>
  <si>
    <t xml:space="preserve"> KT. CỤC TRƯỞNG</t>
  </si>
  <si>
    <t>KT. CỤC TRƯỞNG</t>
  </si>
  <si>
    <t>Mẫu số: 01/TKTHADS - BCQH</t>
  </si>
  <si>
    <r>
      <t xml:space="preserve">Đơn vị lập biểu mẫu: </t>
    </r>
    <r>
      <rPr>
        <b/>
        <sz val="11"/>
        <color indexed="8"/>
        <rFont val="Times New Roman"/>
        <family val="1"/>
      </rPr>
      <t>Cục THADS Bình Thuận</t>
    </r>
  </si>
  <si>
    <t>Ban hành kèm theo Công văn số 2241:ngày 21 tháng 7 năm 2014 của Tổng cục Thi hành án dân sự</t>
  </si>
  <si>
    <r>
      <t xml:space="preserve">Đơn vị nhận biểu mẫu: </t>
    </r>
    <r>
      <rPr>
        <b/>
        <sz val="11"/>
        <color indexed="8"/>
        <rFont val="Times New Roman"/>
        <family val="1"/>
      </rPr>
      <t xml:space="preserve">TrTDLTT và Thống kê THADS </t>
    </r>
  </si>
  <si>
    <r>
      <t xml:space="preserve">THỐNG KÊ SỐ VIỆC THU CHO NGÂN SÁCH NHÀ NƯỚC
</t>
    </r>
    <r>
      <rPr>
        <b/>
        <sz val="12"/>
        <color indexed="8"/>
        <rFont val="Times New Roman"/>
        <family val="1"/>
      </rPr>
      <t>10 tháng/ năm 2014</t>
    </r>
  </si>
  <si>
    <t>Số TT</t>
  </si>
  <si>
    <t>Tổng số việc thu cho ngân sách nhà nước</t>
  </si>
  <si>
    <t>Số việc  thu  án phí</t>
  </si>
  <si>
    <t>Số việc  thu  phạt</t>
  </si>
  <si>
    <t>Số việc thu tịch thu, truy thu, sung công</t>
  </si>
  <si>
    <t>Các khoản thu cho Ngân sách NN khác</t>
  </si>
  <si>
    <t xml:space="preserve"> Tổng số việc thụ lý</t>
  </si>
  <si>
    <t>Số việc năm trước chuyển sang</t>
  </si>
  <si>
    <t>Số việc thụ lý mới</t>
  </si>
  <si>
    <t>1.1</t>
  </si>
  <si>
    <t xml:space="preserve">Số việc thi hành xong </t>
  </si>
  <si>
    <t>1.2</t>
  </si>
  <si>
    <t>1.3</t>
  </si>
  <si>
    <t>Số việc ủy thác thi hành án</t>
  </si>
  <si>
    <t>1.4</t>
  </si>
  <si>
    <t>1.5</t>
  </si>
  <si>
    <t>Số việc miễn thi hành án</t>
  </si>
  <si>
    <t>1.6</t>
  </si>
  <si>
    <t>Số việc đang thi hành dở dang</t>
  </si>
  <si>
    <t>1.7</t>
  </si>
  <si>
    <t>Số việc chưa có điều kiện giải quyết</t>
  </si>
  <si>
    <t>2.1</t>
  </si>
  <si>
    <t>2.2</t>
  </si>
  <si>
    <t>2.3</t>
  </si>
  <si>
    <t>Tỷ lệ số giải quyết xong/số có  điều kiện giải quyết (%)</t>
  </si>
  <si>
    <r>
      <rPr>
        <b/>
        <i/>
        <u val="single"/>
        <sz val="10"/>
        <color indexed="8"/>
        <rFont val="Times New Roman"/>
        <family val="1"/>
      </rPr>
      <t>* Ghi chú:</t>
    </r>
    <r>
      <rPr>
        <i/>
        <sz val="10"/>
        <color indexed="8"/>
        <rFont val="Times New Roman"/>
        <family val="1"/>
      </rPr>
      <t xml:space="preserve">  Biểu này được dùng để Chi cục THADS báo cáo lên Cục Thi hành án dân sự; Cục THADS báo cáo kết quả của Cục THADS và tổng hợp chung của toàn tỉnh báo cáo Tổng cục Thi hành án dân sự.</t>
    </r>
    <r>
      <rPr>
        <sz val="10"/>
        <color indexed="8"/>
        <rFont val="Times New Roman"/>
        <family val="1"/>
      </rPr>
      <t xml:space="preserve">
</t>
    </r>
  </si>
  <si>
    <t>Ban hành kèm theo Công văn số: 2241 ngày 21 tháng 7 năm 2014 của Tổng cục Thi hành án dân sự</t>
  </si>
  <si>
    <r>
      <t xml:space="preserve">Đơn vị nhận biểu mẫu: </t>
    </r>
    <r>
      <rPr>
        <b/>
        <sz val="11"/>
        <color indexed="8"/>
        <rFont val="Times New Roman"/>
        <family val="1"/>
      </rPr>
      <t>TrTDLTT và Thống kê THADS</t>
    </r>
  </si>
  <si>
    <r>
      <t xml:space="preserve">THỐNG KÊ SỐ VIỆC BÁN ĐẤU GIÁ TÀI SẢN KHÔNG THÀNH
</t>
    </r>
    <r>
      <rPr>
        <b/>
        <sz val="12"/>
        <color indexed="8"/>
        <rFont val="Times New Roman"/>
        <family val="1"/>
      </rPr>
      <t>10 tháng/ năm 2014</t>
    </r>
  </si>
  <si>
    <t>Tổng số việc bán đấu giá không thành</t>
  </si>
  <si>
    <t>Tổng số tiền tương ứng số việc ở cột 1 (1.000 đồng)</t>
  </si>
  <si>
    <t>Số việc bán đấu giá không thành 
(Đơn vị tính: việc)</t>
  </si>
  <si>
    <t>Số tiền tương ứng với số việc bán đấu giá tài sản không thành (Đơn vị tính: 1.000 đồng)</t>
  </si>
  <si>
    <t>Số việc bán đấu giá lần 1</t>
  </si>
  <si>
    <t>Số việc bán đấu giá lần 2</t>
  </si>
  <si>
    <t>Số việc bán đấu giá lần 3 trở lên</t>
  </si>
  <si>
    <t>Số tiền tương ứng số việc ở cột 3</t>
  </si>
  <si>
    <t>Số tiền tương ứng số việc ở cột 4</t>
  </si>
  <si>
    <t>Số tiền tương ứng số việc ở cột 5</t>
  </si>
  <si>
    <t>Cục THADS Bình Thuận</t>
  </si>
  <si>
    <t>Chi cục THADS Tp. Phan Thiết</t>
  </si>
  <si>
    <t>Chi cục THADS Tx. Lagi</t>
  </si>
  <si>
    <t>Chi cục THADS H. H.T. Nam</t>
  </si>
  <si>
    <t>Chi cục THADS H. H.T. Bắc</t>
  </si>
  <si>
    <r>
      <rPr>
        <b/>
        <u val="single"/>
        <sz val="10"/>
        <color indexed="8"/>
        <rFont val="Times New Roman"/>
        <family val="1"/>
      </rPr>
      <t>* Ghi chú:</t>
    </r>
    <r>
      <rPr>
        <sz val="10"/>
        <color indexed="8"/>
        <rFont val="Times New Roman"/>
        <family val="1"/>
      </rPr>
      <t xml:space="preserve"> 
</t>
    </r>
    <r>
      <rPr>
        <i/>
        <sz val="10"/>
        <color indexed="8"/>
        <rFont val="Times New Roman"/>
        <family val="1"/>
      </rPr>
      <t>- Biểu này được dùng để Chi cục THADS báo cáo lên Cục Thi hành án dân sự; Cục THADS báo cáo kết quả của Cục THADS và tổng hợp chung của toàn tỉnh báo cáo Tổng cục Thi hành án dân sự;
- Chỉ thống kê số việc tính đến ngày báo cáo đã được tổ chức bán đấu giá nhưng không thành.</t>
    </r>
  </si>
  <si>
    <t>TỔNG CỤC THI HÀNH ÁN DÂN SỰ</t>
  </si>
  <si>
    <t>CỘNG HÒA XÃ HỘI CHỦ NGHĨA VIỆT NAM</t>
  </si>
  <si>
    <t>CỤC THI HÀNH ÁN DÂN SỰ TỈNH BÌNH THUẬN</t>
  </si>
  <si>
    <t>Độc lập - Tự do - Hạnh phúc</t>
  </si>
  <si>
    <t>PHỤ LỤC</t>
  </si>
  <si>
    <t>THỐNG KÊ PHẦN TRÁCH NHIỆM DÂN SỰ CỦA NGƯỜI PHẢI THI HÀNH ÁN ĐANG CHẤP HÀNH</t>
  </si>
  <si>
    <t>TT</t>
  </si>
  <si>
    <t>Đơn vị</t>
  </si>
  <si>
    <t>Tổng thụ lý số việc, giá trị mà người phải THA đang chấp hành hình phạt tù tại TG, TTG</t>
  </si>
  <si>
    <t>Đã thi hành được</t>
  </si>
  <si>
    <t>Việc</t>
  </si>
  <si>
    <t>Tiền</t>
  </si>
  <si>
    <t>Năm trước chuyển sang</t>
  </si>
  <si>
    <t>Mới thụ lý</t>
  </si>
  <si>
    <t>Tổng</t>
  </si>
  <si>
    <t>Chi cục THADS H. H. T. Bắc</t>
  </si>
  <si>
    <t>Chi cục THADS H. H. T. Nam</t>
  </si>
  <si>
    <t>2.4</t>
  </si>
  <si>
    <t>Số việc chưa có điều kiện thi hành</t>
  </si>
  <si>
    <r>
      <t>Bình Thuận, ngày 03 tháng 8 năm 2015</t>
    </r>
    <r>
      <rPr>
        <b/>
        <sz val="13"/>
        <rFont val="Times New Roman"/>
        <family val="1"/>
      </rPr>
      <t xml:space="preserve">
KT. CỤC TRƯỞNG </t>
    </r>
  </si>
  <si>
    <r>
      <t>Bình Thuận, ngày 03 tháng 8 năm 2015</t>
    </r>
    <r>
      <rPr>
        <b/>
        <sz val="13"/>
        <rFont val="Times New Roman"/>
        <family val="1"/>
      </rPr>
      <t xml:space="preserve">
NGƯỜI LẬP BIỂU</t>
    </r>
  </si>
  <si>
    <t>Bùi Thị Minh Ngà</t>
  </si>
  <si>
    <t>Bùi Thái Bình</t>
  </si>
  <si>
    <t xml:space="preserve"> THADS H. HT Bắc</t>
  </si>
  <si>
    <t xml:space="preserve"> THADS H. HT. Nam</t>
  </si>
  <si>
    <t>Bình Thuận, ngày 31 tháng 7 năm 2015</t>
  </si>
  <si>
    <r>
      <t>SỐ CUỘC GIÁM SÁT VÀ KẾT QUẢ THỰC HIỆN 
KẾT LUẬN GIÁM SÁT</t>
    </r>
    <r>
      <rPr>
        <i/>
        <sz val="13"/>
        <rFont val="Times New Roman"/>
        <family val="1"/>
      </rPr>
      <t xml:space="preserve">
</t>
    </r>
    <r>
      <rPr>
        <b/>
        <sz val="13"/>
        <rFont val="Times New Roman"/>
        <family val="1"/>
      </rPr>
      <t>10</t>
    </r>
    <r>
      <rPr>
        <i/>
        <sz val="13"/>
        <rFont val="Times New Roman"/>
        <family val="1"/>
      </rPr>
      <t xml:space="preserve"> </t>
    </r>
    <r>
      <rPr>
        <b/>
        <sz val="13"/>
        <rFont val="Times New Roman"/>
        <family val="1"/>
      </rPr>
      <t>tháng/ năm 2015</t>
    </r>
  </si>
  <si>
    <t>(đã ký)</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</si>
</sst>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
    <numFmt numFmtId="194" formatCode="[$-1010000]d/m/yyyy;@"/>
    <numFmt numFmtId="195" formatCode="m/d/yyyy;@"/>
    <numFmt numFmtId="196" formatCode="#,##0;[Red]#,##0"/>
    <numFmt numFmtId="197" formatCode="dd/mm/yyyy"/>
    <numFmt numFmtId="198" formatCode="dd/mmyyyy"/>
  </numFmts>
  <fonts count="100">
    <font>
      <sz val="12"/>
      <name val="Times New Roman"/>
      <family val="1"/>
    </font>
    <font>
      <sz val="12"/>
      <name val=".VnTimeH"/>
      <family val="2"/>
    </font>
    <font>
      <sz val="12"/>
      <name val=".VnTime"/>
      <family val="2"/>
    </font>
    <font>
      <sz val="10"/>
      <name val=".VnHelvetInsH"/>
      <family val="2"/>
    </font>
    <font>
      <sz val="8"/>
      <name val=".VnTime"/>
      <family val="2"/>
    </font>
    <font>
      <sz val="10"/>
      <name val=".VnTime"/>
      <family val="2"/>
    </font>
    <font>
      <i/>
      <sz val="12"/>
      <name val=".VnTime"/>
      <family val="2"/>
    </font>
    <font>
      <sz val="9"/>
      <name val=".VnTime"/>
      <family val="2"/>
    </font>
    <font>
      <b/>
      <sz val="12"/>
      <name val=".VnTime"/>
      <family val="2"/>
    </font>
    <font>
      <sz val="10"/>
      <name val=".VnTimeH"/>
      <family val="2"/>
    </font>
    <font>
      <b/>
      <sz val="12"/>
      <name val="Times New Roman"/>
      <family val="1"/>
    </font>
    <font>
      <sz val="11"/>
      <name val=".VnTime"/>
      <family val="2"/>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12"/>
      <name val=".VnHelvetInsH"/>
      <family val="2"/>
    </font>
    <font>
      <b/>
      <sz val="9"/>
      <name val="Times New Roman"/>
      <family val="1"/>
    </font>
    <font>
      <i/>
      <sz val="11"/>
      <name val="Times New Roman"/>
      <family val="1"/>
    </font>
    <font>
      <b/>
      <sz val="13"/>
      <name val="Times New Roman"/>
      <family val="1"/>
    </font>
    <font>
      <sz val="13"/>
      <name val="Times New Roman"/>
      <family val="1"/>
    </font>
    <font>
      <sz val="13"/>
      <name val=".VnTime"/>
      <family val="2"/>
    </font>
    <font>
      <b/>
      <sz val="13"/>
      <name val=".VnTime"/>
      <family val="2"/>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b/>
      <sz val="10"/>
      <name val=".VnTime"/>
      <family val="2"/>
    </font>
    <font>
      <i/>
      <sz val="13"/>
      <name val="Times New Roman"/>
      <family val="1"/>
    </font>
    <font>
      <sz val="8"/>
      <name val="Tahoma"/>
      <family val="0"/>
    </font>
    <font>
      <b/>
      <sz val="8"/>
      <name val="Tahoma"/>
      <family val="0"/>
    </font>
    <font>
      <sz val="11"/>
      <name val="Arial"/>
      <family val="2"/>
    </font>
    <font>
      <sz val="10"/>
      <color indexed="10"/>
      <name val="Times New Roman"/>
      <family val="1"/>
    </font>
    <font>
      <sz val="9"/>
      <name val="Times New Roman"/>
      <family val="1"/>
    </font>
    <font>
      <sz val="9"/>
      <color indexed="10"/>
      <name val="Times New Roman"/>
      <family val="1"/>
    </font>
    <font>
      <sz val="10"/>
      <name val="Arial"/>
      <family val="0"/>
    </font>
    <font>
      <sz val="13"/>
      <name val="Arial"/>
      <family val="0"/>
    </font>
    <font>
      <sz val="8"/>
      <name val="Arial"/>
      <family val="0"/>
    </font>
    <font>
      <b/>
      <sz val="8"/>
      <name val="Times New Roman"/>
      <family val="1"/>
    </font>
    <font>
      <sz val="11"/>
      <color indexed="10"/>
      <name val="Times New Roman"/>
      <family val="1"/>
    </font>
    <font>
      <sz val="11"/>
      <color indexed="12"/>
      <name val="Times New Roman"/>
      <family val="1"/>
    </font>
    <font>
      <b/>
      <i/>
      <sz val="9"/>
      <name val="Times New Roman"/>
      <family val="1"/>
    </font>
    <font>
      <i/>
      <sz val="9"/>
      <name val="Times New Roman"/>
      <family val="1"/>
    </font>
    <font>
      <sz val="8"/>
      <color indexed="10"/>
      <name val="Times New Roman"/>
      <family val="1"/>
    </font>
    <font>
      <b/>
      <i/>
      <sz val="8"/>
      <name val="Times New Roman"/>
      <family val="1"/>
    </font>
    <font>
      <i/>
      <sz val="11"/>
      <name val=".VnTime"/>
      <family val="2"/>
    </font>
    <font>
      <i/>
      <sz val="8"/>
      <name val=".VnTime"/>
      <family val="2"/>
    </font>
    <font>
      <sz val="8"/>
      <name val="Traditional Arabic"/>
      <family val="1"/>
    </font>
    <font>
      <i/>
      <sz val="8"/>
      <name val="Times New Roman"/>
      <family val="1"/>
    </font>
    <font>
      <sz val="6"/>
      <name val="Times New Roman"/>
      <family val="1"/>
    </font>
    <font>
      <sz val="11"/>
      <color indexed="8"/>
      <name val="Times New Roman"/>
      <family val="1"/>
    </font>
    <font>
      <b/>
      <sz val="11"/>
      <color indexed="8"/>
      <name val="Times New Roman"/>
      <family val="1"/>
    </font>
    <font>
      <i/>
      <sz val="11"/>
      <color indexed="8"/>
      <name val="Times New Roman"/>
      <family val="1"/>
    </font>
    <font>
      <b/>
      <sz val="14"/>
      <color indexed="8"/>
      <name val="Times New Roman"/>
      <family val="1"/>
    </font>
    <font>
      <b/>
      <sz val="12"/>
      <color indexed="8"/>
      <name val="Times New Roman"/>
      <family val="1"/>
    </font>
    <font>
      <b/>
      <sz val="10"/>
      <color indexed="8"/>
      <name val="Times New Roman"/>
      <family val="1"/>
    </font>
    <font>
      <i/>
      <sz val="10"/>
      <color indexed="8"/>
      <name val="Times New Roman"/>
      <family val="1"/>
    </font>
    <font>
      <sz val="12"/>
      <color indexed="8"/>
      <name val="Times New Roman"/>
      <family val="1"/>
    </font>
    <font>
      <b/>
      <i/>
      <sz val="12"/>
      <color indexed="8"/>
      <name val="Times New Roman"/>
      <family val="1"/>
    </font>
    <font>
      <i/>
      <sz val="13"/>
      <color indexed="8"/>
      <name val="Times New Roman"/>
      <family val="1"/>
    </font>
    <font>
      <b/>
      <sz val="13"/>
      <color indexed="8"/>
      <name val="Times New Roman"/>
      <family val="1"/>
    </font>
    <font>
      <sz val="13"/>
      <color indexed="8"/>
      <name val="Times New Roman"/>
      <family val="1"/>
    </font>
    <font>
      <sz val="10"/>
      <color indexed="8"/>
      <name val="Times New Roman"/>
      <family val="1"/>
    </font>
    <font>
      <b/>
      <i/>
      <u val="single"/>
      <sz val="10"/>
      <color indexed="8"/>
      <name val="Times New Roman"/>
      <family val="1"/>
    </font>
    <font>
      <b/>
      <u val="single"/>
      <sz val="10"/>
      <color indexed="8"/>
      <name val="Times New Roman"/>
      <family val="1"/>
    </font>
    <font>
      <b/>
      <u val="single"/>
      <sz val="12"/>
      <name val="Times New Roman"/>
      <family val="1"/>
    </font>
    <font>
      <b/>
      <sz val="14"/>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0"/>
    </font>
    <font>
      <sz val="9"/>
      <color indexed="8"/>
      <name val="Arial"/>
      <family val="0"/>
    </font>
    <font>
      <b/>
      <i/>
      <sz val="13"/>
      <name val="Times New Roman"/>
      <family val="1"/>
    </font>
    <font>
      <i/>
      <sz val="12"/>
      <color indexed="8"/>
      <name val="Times New Roman"/>
      <family val="1"/>
    </font>
    <font>
      <sz val="8"/>
      <name val="Garamond"/>
      <family val="1"/>
    </font>
    <font>
      <i/>
      <sz val="6"/>
      <name val="Times New Roman"/>
      <family val="1"/>
    </font>
    <font>
      <i/>
      <sz val="8"/>
      <name val="Garamond"/>
      <family val="1"/>
    </font>
    <font>
      <i/>
      <sz val="8"/>
      <name val="Traditional Arabic"/>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double"/>
    </border>
    <border>
      <left style="thin"/>
      <right>
        <color indexed="63"/>
      </right>
      <top style="thin"/>
      <bottom>
        <color indexed="63"/>
      </bottom>
    </border>
    <border>
      <left>
        <color indexed="63"/>
      </left>
      <right style="thin"/>
      <top style="thin"/>
      <bottom style="thin"/>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8" borderId="0" applyNumberFormat="0" applyBorder="0" applyAlignment="0" applyProtection="0"/>
    <xf numFmtId="0" fontId="75" fillId="11" borderId="0" applyNumberFormat="0" applyBorder="0" applyAlignment="0" applyProtection="0"/>
    <xf numFmtId="0" fontId="76" fillId="12"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9" borderId="0" applyNumberFormat="0" applyBorder="0" applyAlignment="0" applyProtection="0"/>
    <xf numFmtId="0" fontId="77" fillId="3" borderId="0" applyNumberFormat="0" applyBorder="0" applyAlignment="0" applyProtection="0"/>
    <xf numFmtId="0" fontId="78" fillId="20" borderId="1" applyNumberFormat="0" applyAlignment="0" applyProtection="0"/>
    <xf numFmtId="0" fontId="7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1" fillId="4"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85" fillId="7" borderId="1" applyNumberFormat="0" applyAlignment="0" applyProtection="0"/>
    <xf numFmtId="0" fontId="86" fillId="0" borderId="6" applyNumberFormat="0" applyFill="0" applyAlignment="0" applyProtection="0"/>
    <xf numFmtId="0" fontId="87" fillId="22" borderId="0" applyNumberFormat="0" applyBorder="0" applyAlignment="0" applyProtection="0"/>
    <xf numFmtId="0" fontId="43" fillId="0" borderId="0">
      <alignment/>
      <protection/>
    </xf>
    <xf numFmtId="0" fontId="0" fillId="23" borderId="7" applyNumberFormat="0" applyFont="0" applyAlignment="0" applyProtection="0"/>
    <xf numFmtId="0" fontId="88" fillId="20"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224">
    <xf numFmtId="0" fontId="0" fillId="0" borderId="0" xfId="0" applyAlignment="1">
      <alignment/>
    </xf>
    <xf numFmtId="0" fontId="2" fillId="0" borderId="0" xfId="0" applyFont="1" applyAlignment="1">
      <alignment/>
    </xf>
    <xf numFmtId="0" fontId="0" fillId="0" borderId="10" xfId="0" applyBorder="1" applyAlignment="1">
      <alignment/>
    </xf>
    <xf numFmtId="0" fontId="14" fillId="0" borderId="10" xfId="0" applyFont="1" applyBorder="1" applyAlignment="1">
      <alignment horizontal="center"/>
    </xf>
    <xf numFmtId="0" fontId="0" fillId="0" borderId="10" xfId="0" applyFont="1" applyBorder="1" applyAlignment="1">
      <alignment horizontal="center"/>
    </xf>
    <xf numFmtId="0" fontId="16" fillId="0" borderId="10" xfId="0" applyNumberFormat="1" applyFont="1" applyBorder="1" applyAlignment="1">
      <alignment horizontal="left"/>
    </xf>
    <xf numFmtId="0" fontId="10" fillId="0" borderId="0" xfId="0" applyFont="1" applyBorder="1" applyAlignment="1">
      <alignment wrapText="1"/>
    </xf>
    <xf numFmtId="0" fontId="12" fillId="0" borderId="0" xfId="0" applyFont="1" applyAlignment="1">
      <alignment/>
    </xf>
    <xf numFmtId="0" fontId="10" fillId="0" borderId="0" xfId="0" applyFont="1" applyBorder="1" applyAlignment="1">
      <alignment/>
    </xf>
    <xf numFmtId="0" fontId="0" fillId="0" borderId="0" xfId="0" applyNumberFormat="1" applyFont="1" applyAlignment="1">
      <alignment/>
    </xf>
    <xf numFmtId="0" fontId="0" fillId="0" borderId="0" xfId="0" applyNumberFormat="1" applyFont="1" applyAlignment="1">
      <alignment/>
    </xf>
    <xf numFmtId="0" fontId="16" fillId="0" borderId="11" xfId="0" applyNumberFormat="1" applyFont="1" applyBorder="1" applyAlignment="1">
      <alignment wrapText="1"/>
    </xf>
    <xf numFmtId="0" fontId="16" fillId="0" borderId="12" xfId="0" applyNumberFormat="1" applyFont="1" applyBorder="1" applyAlignment="1">
      <alignment wrapText="1"/>
    </xf>
    <xf numFmtId="0" fontId="16" fillId="0" borderId="0" xfId="0" applyNumberFormat="1" applyFont="1" applyBorder="1" applyAlignment="1">
      <alignment wrapText="1"/>
    </xf>
    <xf numFmtId="0" fontId="14" fillId="0" borderId="10" xfId="0" applyNumberFormat="1" applyFont="1" applyBorder="1" applyAlignment="1">
      <alignment horizontal="left"/>
    </xf>
    <xf numFmtId="0" fontId="0" fillId="0" borderId="0" xfId="0" applyFont="1" applyAlignment="1">
      <alignment/>
    </xf>
    <xf numFmtId="0" fontId="16" fillId="0" borderId="11" xfId="0" applyNumberFormat="1" applyFont="1" applyBorder="1" applyAlignment="1">
      <alignment horizontal="left"/>
    </xf>
    <xf numFmtId="0" fontId="12" fillId="0" borderId="11" xfId="0" applyNumberFormat="1" applyFont="1" applyBorder="1" applyAlignment="1">
      <alignment horizontal="left"/>
    </xf>
    <xf numFmtId="0" fontId="12" fillId="0" borderId="10" xfId="0" applyNumberFormat="1" applyFont="1" applyBorder="1" applyAlignment="1">
      <alignment horizontal="left"/>
    </xf>
    <xf numFmtId="0" fontId="16" fillId="0" borderId="10" xfId="0" applyNumberFormat="1" applyFont="1" applyBorder="1" applyAlignment="1">
      <alignment horizontal="left" wrapText="1"/>
    </xf>
    <xf numFmtId="0" fontId="15" fillId="0" borderId="11" xfId="0" applyNumberFormat="1" applyFont="1" applyBorder="1" applyAlignment="1">
      <alignment horizontal="center" wrapText="1"/>
    </xf>
    <xf numFmtId="0" fontId="0" fillId="0" borderId="0" xfId="0" applyNumberFormat="1" applyFont="1" applyBorder="1" applyAlignment="1">
      <alignment/>
    </xf>
    <xf numFmtId="49" fontId="0" fillId="0" borderId="0" xfId="0" applyNumberFormat="1" applyAlignment="1">
      <alignment/>
    </xf>
    <xf numFmtId="49" fontId="0" fillId="0" borderId="0" xfId="0" applyNumberFormat="1" applyFill="1" applyAlignment="1">
      <alignment/>
    </xf>
    <xf numFmtId="49" fontId="23" fillId="0" borderId="0" xfId="0" applyNumberFormat="1" applyFont="1" applyAlignment="1">
      <alignment/>
    </xf>
    <xf numFmtId="49" fontId="5" fillId="0" borderId="0" xfId="0" applyNumberFormat="1" applyFont="1" applyBorder="1" applyAlignment="1">
      <alignment horizontal="right"/>
    </xf>
    <xf numFmtId="49" fontId="30" fillId="0" borderId="0" xfId="0" applyNumberFormat="1" applyFont="1" applyAlignment="1">
      <alignment/>
    </xf>
    <xf numFmtId="0" fontId="15" fillId="0" borderId="0" xfId="0" applyNumberFormat="1" applyFont="1" applyBorder="1" applyAlignment="1">
      <alignment horizontal="left"/>
    </xf>
    <xf numFmtId="0" fontId="15" fillId="0" borderId="10" xfId="0" applyNumberFormat="1" applyFont="1" applyBorder="1" applyAlignment="1">
      <alignment wrapText="1"/>
    </xf>
    <xf numFmtId="49" fontId="30" fillId="24" borderId="0" xfId="0" applyNumberFormat="1" applyFont="1" applyFill="1" applyAlignment="1">
      <alignment/>
    </xf>
    <xf numFmtId="49" fontId="0" fillId="24" borderId="0" xfId="0" applyNumberFormat="1" applyFill="1" applyAlignment="1">
      <alignment/>
    </xf>
    <xf numFmtId="0" fontId="0" fillId="0" borderId="10" xfId="0" applyFont="1" applyBorder="1" applyAlignment="1">
      <alignment/>
    </xf>
    <xf numFmtId="0" fontId="10" fillId="0" borderId="10" xfId="0" applyNumberFormat="1" applyFont="1" applyBorder="1" applyAlignment="1">
      <alignment horizontal="left"/>
    </xf>
    <xf numFmtId="0" fontId="0" fillId="0" borderId="10" xfId="0" applyNumberFormat="1" applyFont="1" applyBorder="1" applyAlignment="1">
      <alignment horizontal="left"/>
    </xf>
    <xf numFmtId="0" fontId="10" fillId="0" borderId="11" xfId="0" applyNumberFormat="1" applyFont="1" applyBorder="1" applyAlignment="1">
      <alignment horizontal="left"/>
    </xf>
    <xf numFmtId="0" fontId="0" fillId="0" borderId="11" xfId="0" applyNumberFormat="1" applyFont="1" applyBorder="1" applyAlignment="1">
      <alignment horizontal="left"/>
    </xf>
    <xf numFmtId="0" fontId="0" fillId="0" borderId="10" xfId="0" applyFont="1" applyBorder="1" applyAlignment="1">
      <alignment horizontal="left" wrapText="1"/>
    </xf>
    <xf numFmtId="0" fontId="0" fillId="0" borderId="0" xfId="0" applyFont="1" applyAlignment="1">
      <alignment/>
    </xf>
    <xf numFmtId="0" fontId="10" fillId="0" borderId="13" xfId="0" applyNumberFormat="1" applyFont="1" applyBorder="1" applyAlignment="1">
      <alignment horizontal="left"/>
    </xf>
    <xf numFmtId="49" fontId="14" fillId="0" borderId="10" xfId="0" applyNumberFormat="1" applyFont="1" applyFill="1" applyBorder="1" applyAlignment="1">
      <alignment horizontal="left"/>
    </xf>
    <xf numFmtId="0" fontId="15" fillId="0" borderId="10"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5" fillId="0" borderId="0" xfId="0" applyNumberFormat="1" applyFont="1" applyBorder="1" applyAlignment="1">
      <alignment horizontal="center" vertical="center"/>
    </xf>
    <xf numFmtId="49" fontId="16" fillId="0" borderId="14" xfId="0" applyNumberFormat="1" applyFont="1" applyFill="1" applyBorder="1" applyAlignment="1">
      <alignment horizontal="center" vertical="center" wrapText="1"/>
    </xf>
    <xf numFmtId="0" fontId="25" fillId="0" borderId="0" xfId="0" applyFont="1" applyAlignment="1">
      <alignment horizont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14" fillId="0" borderId="12" xfId="0" applyNumberFormat="1" applyFont="1" applyFill="1" applyBorder="1" applyAlignment="1">
      <alignment/>
    </xf>
    <xf numFmtId="49" fontId="14"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xf>
    <xf numFmtId="49" fontId="15" fillId="0" borderId="10" xfId="0" applyNumberFormat="1" applyFont="1" applyFill="1" applyBorder="1" applyAlignment="1">
      <alignment horizontal="left"/>
    </xf>
    <xf numFmtId="49" fontId="28" fillId="0" borderId="10" xfId="0" applyNumberFormat="1" applyFont="1" applyFill="1" applyBorder="1" applyAlignment="1">
      <alignment horizontal="center" vertical="center" wrapText="1"/>
    </xf>
    <xf numFmtId="49" fontId="15" fillId="0" borderId="13" xfId="0" applyNumberFormat="1" applyFont="1" applyFill="1" applyBorder="1" applyAlignment="1">
      <alignment horizontal="center"/>
    </xf>
    <xf numFmtId="49" fontId="22" fillId="0" borderId="10" xfId="0" applyNumberFormat="1" applyFont="1" applyFill="1" applyBorder="1" applyAlignment="1">
      <alignment horizontal="left"/>
    </xf>
    <xf numFmtId="49" fontId="14"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29" fillId="0" borderId="10" xfId="0" applyNumberFormat="1" applyFont="1" applyFill="1" applyBorder="1" applyAlignment="1">
      <alignment horizontal="center"/>
    </xf>
    <xf numFmtId="49" fontId="32" fillId="0" borderId="0" xfId="0" applyNumberFormat="1" applyFont="1" applyFill="1" applyAlignment="1">
      <alignment/>
    </xf>
    <xf numFmtId="49" fontId="34" fillId="0" borderId="0" xfId="0" applyNumberFormat="1" applyFont="1" applyFill="1" applyAlignment="1">
      <alignment/>
    </xf>
    <xf numFmtId="49" fontId="10" fillId="0" borderId="0" xfId="0" applyNumberFormat="1" applyFont="1" applyFill="1" applyAlignment="1">
      <alignment/>
    </xf>
    <xf numFmtId="49" fontId="23" fillId="0" borderId="0" xfId="0" applyNumberFormat="1" applyFont="1" applyFill="1" applyAlignment="1">
      <alignment wrapText="1"/>
    </xf>
    <xf numFmtId="49" fontId="12" fillId="0" borderId="0" xfId="0" applyNumberFormat="1" applyFont="1" applyFill="1" applyAlignment="1">
      <alignment/>
    </xf>
    <xf numFmtId="49" fontId="10" fillId="0" borderId="0" xfId="0" applyNumberFormat="1" applyFont="1" applyFill="1" applyAlignment="1">
      <alignment wrapText="1"/>
    </xf>
    <xf numFmtId="49" fontId="14" fillId="0" borderId="10" xfId="0" applyNumberFormat="1" applyFont="1" applyFill="1" applyBorder="1" applyAlignment="1">
      <alignment/>
    </xf>
    <xf numFmtId="49" fontId="25" fillId="0" borderId="0" xfId="0" applyNumberFormat="1" applyFont="1" applyFill="1" applyBorder="1" applyAlignment="1">
      <alignment vertical="center" wrapText="1"/>
    </xf>
    <xf numFmtId="49" fontId="30" fillId="0" borderId="0" xfId="0" applyNumberFormat="1" applyFont="1" applyFill="1" applyAlignment="1">
      <alignment/>
    </xf>
    <xf numFmtId="49" fontId="36" fillId="0" borderId="0" xfId="0" applyNumberFormat="1" applyFont="1" applyFill="1" applyBorder="1" applyAlignment="1">
      <alignment vertical="center" wrapText="1"/>
    </xf>
    <xf numFmtId="0" fontId="12" fillId="0" borderId="10" xfId="0" applyNumberFormat="1" applyFont="1" applyBorder="1" applyAlignment="1">
      <alignment horizontal="center" vertical="center" wrapText="1"/>
    </xf>
    <xf numFmtId="0" fontId="12" fillId="0" borderId="14" xfId="0" applyNumberFormat="1" applyFont="1" applyBorder="1" applyAlignment="1">
      <alignment horizontal="center" vertical="center" wrapText="1"/>
    </xf>
    <xf numFmtId="0" fontId="0" fillId="0" borderId="0" xfId="0" applyNumberFormat="1" applyFont="1" applyAlignment="1">
      <alignment horizontal="left"/>
    </xf>
    <xf numFmtId="0" fontId="24" fillId="0" borderId="0" xfId="0" applyNumberFormat="1" applyFont="1" applyAlignment="1">
      <alignment horizontal="center"/>
    </xf>
    <xf numFmtId="0" fontId="12" fillId="0" borderId="11" xfId="0" applyNumberFormat="1" applyFont="1" applyBorder="1" applyAlignment="1">
      <alignment horizontal="center" vertical="center" wrapText="1"/>
    </xf>
    <xf numFmtId="0" fontId="25" fillId="0" borderId="0" xfId="0" applyNumberFormat="1" applyFont="1" applyAlignment="1">
      <alignment horizontal="center"/>
    </xf>
    <xf numFmtId="0" fontId="0" fillId="0" borderId="0" xfId="0" applyNumberFormat="1" applyAlignment="1">
      <alignment/>
    </xf>
    <xf numFmtId="0" fontId="2" fillId="0" borderId="0" xfId="0" applyNumberFormat="1" applyFont="1" applyAlignment="1">
      <alignment/>
    </xf>
    <xf numFmtId="0" fontId="2" fillId="0" borderId="0" xfId="0" applyNumberFormat="1" applyFont="1" applyAlignment="1">
      <alignment horizontal="left"/>
    </xf>
    <xf numFmtId="0" fontId="2" fillId="0" borderId="0" xfId="0" applyNumberFormat="1" applyFont="1" applyAlignment="1">
      <alignment/>
    </xf>
    <xf numFmtId="0" fontId="8" fillId="0" borderId="0" xfId="0" applyNumberFormat="1" applyFont="1" applyAlignment="1">
      <alignment/>
    </xf>
    <xf numFmtId="0" fontId="5" fillId="0" borderId="0" xfId="0" applyNumberFormat="1" applyFont="1" applyBorder="1" applyAlignment="1">
      <alignment/>
    </xf>
    <xf numFmtId="0" fontId="0" fillId="0" borderId="0" xfId="0" applyNumberFormat="1" applyBorder="1" applyAlignment="1">
      <alignment/>
    </xf>
    <xf numFmtId="0" fontId="14" fillId="0" borderId="10" xfId="0" applyNumberFormat="1" applyFont="1" applyBorder="1" applyAlignment="1">
      <alignment horizontal="center"/>
    </xf>
    <xf numFmtId="0" fontId="0" fillId="0" borderId="10" xfId="0" applyNumberFormat="1" applyBorder="1" applyAlignment="1">
      <alignment/>
    </xf>
    <xf numFmtId="0" fontId="15" fillId="0" borderId="10" xfId="0" applyNumberFormat="1" applyFont="1" applyBorder="1" applyAlignment="1">
      <alignment horizontal="center"/>
    </xf>
    <xf numFmtId="0" fontId="16" fillId="0" borderId="15" xfId="0" applyNumberFormat="1" applyFont="1" applyBorder="1" applyAlignment="1">
      <alignment horizontal="center" wrapText="1"/>
    </xf>
    <xf numFmtId="0" fontId="31" fillId="0" borderId="0" xfId="0" applyNumberFormat="1" applyFont="1" applyBorder="1" applyAlignment="1">
      <alignment/>
    </xf>
    <xf numFmtId="0" fontId="2" fillId="0" borderId="0" xfId="0" applyNumberFormat="1" applyFont="1" applyBorder="1" applyAlignment="1">
      <alignment/>
    </xf>
    <xf numFmtId="0" fontId="23" fillId="0" borderId="0" xfId="0" applyNumberFormat="1" applyFont="1" applyBorder="1" applyAlignment="1">
      <alignment/>
    </xf>
    <xf numFmtId="0" fontId="3" fillId="0" borderId="0" xfId="0" applyNumberFormat="1" applyFont="1" applyBorder="1" applyAlignment="1">
      <alignment horizontal="center"/>
    </xf>
    <xf numFmtId="0" fontId="5" fillId="0" borderId="0" xfId="0" applyNumberFormat="1" applyFont="1" applyBorder="1" applyAlignment="1">
      <alignment horizontal="center"/>
    </xf>
    <xf numFmtId="0" fontId="2" fillId="0" borderId="0" xfId="0" applyNumberFormat="1" applyFont="1" applyBorder="1" applyAlignment="1">
      <alignment/>
    </xf>
    <xf numFmtId="0" fontId="4" fillId="0" borderId="0" xfId="0" applyNumberFormat="1" applyFont="1" applyBorder="1" applyAlignment="1">
      <alignment horizontal="center"/>
    </xf>
    <xf numFmtId="0" fontId="2" fillId="0" borderId="0" xfId="0" applyNumberFormat="1" applyFont="1" applyBorder="1" applyAlignment="1">
      <alignment horizontal="center"/>
    </xf>
    <xf numFmtId="0" fontId="24" fillId="0" borderId="0" xfId="0" applyNumberFormat="1" applyFont="1" applyBorder="1" applyAlignment="1">
      <alignment horizontal="center" wrapText="1"/>
    </xf>
    <xf numFmtId="0" fontId="0" fillId="0" borderId="10" xfId="0" applyNumberFormat="1" applyFont="1" applyBorder="1" applyAlignment="1">
      <alignment horizontal="center"/>
    </xf>
    <xf numFmtId="0" fontId="12" fillId="0" borderId="10" xfId="0" applyNumberFormat="1" applyFont="1" applyBorder="1" applyAlignment="1">
      <alignment/>
    </xf>
    <xf numFmtId="0" fontId="0" fillId="0" borderId="10" xfId="0" applyNumberFormat="1" applyFont="1" applyBorder="1" applyAlignment="1">
      <alignment horizontal="left" vertical="center" wrapText="1"/>
    </xf>
    <xf numFmtId="0" fontId="12" fillId="0" borderId="14" xfId="0" applyNumberFormat="1" applyFont="1" applyBorder="1" applyAlignment="1">
      <alignment/>
    </xf>
    <xf numFmtId="0" fontId="24" fillId="0" borderId="0" xfId="0" applyNumberFormat="1" applyFont="1" applyBorder="1" applyAlignment="1">
      <alignment wrapText="1"/>
    </xf>
    <xf numFmtId="0" fontId="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xf>
    <xf numFmtId="0" fontId="10" fillId="0" borderId="0" xfId="0" applyNumberFormat="1" applyFont="1" applyBorder="1" applyAlignment="1">
      <alignment wrapText="1"/>
    </xf>
    <xf numFmtId="0" fontId="23" fillId="0" borderId="0" xfId="0" applyNumberFormat="1" applyFont="1" applyAlignment="1">
      <alignment/>
    </xf>
    <xf numFmtId="0" fontId="30" fillId="0" borderId="0" xfId="0" applyNumberFormat="1" applyFont="1" applyAlignment="1">
      <alignment horizontal="left"/>
    </xf>
    <xf numFmtId="0" fontId="5" fillId="0" borderId="0" xfId="0" applyNumberFormat="1" applyFont="1" applyBorder="1" applyAlignment="1">
      <alignment horizontal="right"/>
    </xf>
    <xf numFmtId="0" fontId="0" fillId="0" borderId="0" xfId="0" applyNumberFormat="1" applyAlignment="1">
      <alignment horizontal="left"/>
    </xf>
    <xf numFmtId="0" fontId="0" fillId="0" borderId="0" xfId="0" applyNumberFormat="1" applyFont="1" applyBorder="1" applyAlignment="1">
      <alignment horizontal="left" wrapText="1"/>
    </xf>
    <xf numFmtId="0" fontId="0" fillId="0" borderId="0" xfId="0" applyNumberFormat="1" applyFont="1" applyBorder="1" applyAlignment="1">
      <alignment horizontal="left"/>
    </xf>
    <xf numFmtId="0" fontId="14"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0" fillId="0" borderId="0" xfId="0" applyNumberFormat="1" applyFill="1" applyAlignment="1">
      <alignment/>
    </xf>
    <xf numFmtId="0" fontId="12" fillId="0" borderId="10" xfId="0" applyNumberFormat="1" applyFont="1" applyBorder="1" applyAlignment="1">
      <alignment horizontal="center"/>
    </xf>
    <xf numFmtId="0" fontId="16" fillId="0" borderId="10" xfId="0" applyNumberFormat="1" applyFont="1" applyBorder="1" applyAlignment="1">
      <alignment horizontal="center"/>
    </xf>
    <xf numFmtId="0" fontId="16" fillId="0" borderId="13" xfId="0" applyNumberFormat="1" applyFont="1" applyBorder="1" applyAlignment="1">
      <alignment horizontal="center"/>
    </xf>
    <xf numFmtId="0" fontId="12" fillId="0" borderId="0" xfId="0" applyNumberFormat="1" applyFont="1" applyBorder="1" applyAlignment="1">
      <alignment horizontal="center"/>
    </xf>
    <xf numFmtId="0" fontId="25" fillId="0" borderId="0" xfId="0" applyNumberFormat="1" applyFont="1" applyBorder="1" applyAlignment="1">
      <alignment horizontal="center" wrapText="1"/>
    </xf>
    <xf numFmtId="0" fontId="25" fillId="0" borderId="0" xfId="0" applyNumberFormat="1" applyFont="1" applyBorder="1" applyAlignment="1">
      <alignment wrapText="1"/>
    </xf>
    <xf numFmtId="0" fontId="0" fillId="0" borderId="0" xfId="0" applyNumberFormat="1" applyFont="1" applyAlignment="1">
      <alignment wrapText="1"/>
    </xf>
    <xf numFmtId="0" fontId="34" fillId="0" borderId="0" xfId="0" applyNumberFormat="1" applyFont="1" applyAlignment="1">
      <alignment/>
    </xf>
    <xf numFmtId="0" fontId="23" fillId="0" borderId="0" xfId="0" applyNumberFormat="1" applyFont="1" applyBorder="1" applyAlignment="1">
      <alignment wrapText="1"/>
    </xf>
    <xf numFmtId="0" fontId="10" fillId="0" borderId="0" xfId="0" applyNumberFormat="1" applyFont="1" applyFill="1" applyAlignment="1">
      <alignment wrapText="1"/>
    </xf>
    <xf numFmtId="0" fontId="0" fillId="0" borderId="0" xfId="0" applyNumberFormat="1" applyFont="1" applyFill="1" applyBorder="1" applyAlignment="1">
      <alignment/>
    </xf>
    <xf numFmtId="0" fontId="0" fillId="0" borderId="0" xfId="0" applyNumberFormat="1" applyFill="1" applyBorder="1" applyAlignment="1">
      <alignment/>
    </xf>
    <xf numFmtId="0" fontId="15" fillId="0" borderId="10" xfId="0" applyNumberFormat="1" applyFont="1" applyFill="1" applyBorder="1" applyAlignment="1">
      <alignment horizontal="center"/>
    </xf>
    <xf numFmtId="0" fontId="15" fillId="0" borderId="13" xfId="0" applyNumberFormat="1" applyFont="1" applyFill="1" applyBorder="1" applyAlignment="1">
      <alignment horizontal="center"/>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vertical="center" wrapText="1"/>
    </xf>
    <xf numFmtId="0" fontId="34" fillId="0" borderId="0" xfId="0" applyNumberFormat="1" applyFont="1" applyFill="1" applyAlignment="1">
      <alignment/>
    </xf>
    <xf numFmtId="0" fontId="10" fillId="0" borderId="0" xfId="0" applyNumberFormat="1" applyFont="1" applyFill="1" applyAlignment="1">
      <alignment/>
    </xf>
    <xf numFmtId="0" fontId="23" fillId="0" borderId="0" xfId="0" applyNumberFormat="1" applyFont="1" applyFill="1" applyAlignment="1">
      <alignment wrapText="1"/>
    </xf>
    <xf numFmtId="0" fontId="23" fillId="0" borderId="0" xfId="0" applyNumberFormat="1" applyFont="1" applyFill="1" applyAlignment="1">
      <alignment horizontal="left" wrapText="1"/>
    </xf>
    <xf numFmtId="0" fontId="12" fillId="0" borderId="0" xfId="0" applyNumberFormat="1" applyFont="1" applyFill="1" applyAlignment="1">
      <alignment/>
    </xf>
    <xf numFmtId="0" fontId="0" fillId="0" borderId="0" xfId="0" applyNumberFormat="1" applyFont="1" applyBorder="1" applyAlignment="1">
      <alignment wrapText="1"/>
    </xf>
    <xf numFmtId="0" fontId="25" fillId="0" borderId="0" xfId="0" applyNumberFormat="1" applyFont="1" applyAlignment="1">
      <alignment/>
    </xf>
    <xf numFmtId="0" fontId="0" fillId="0" borderId="0" xfId="0" applyNumberFormat="1" applyAlignment="1">
      <alignment horizontal="center"/>
    </xf>
    <xf numFmtId="0" fontId="0" fillId="0" borderId="0" xfId="0" applyNumberFormat="1" applyFont="1" applyFill="1" applyAlignment="1">
      <alignment/>
    </xf>
    <xf numFmtId="0" fontId="0" fillId="25" borderId="0" xfId="0" applyNumberFormat="1" applyFont="1" applyFill="1" applyAlignment="1">
      <alignment/>
    </xf>
    <xf numFmtId="0" fontId="0" fillId="25" borderId="12" xfId="0" applyNumberFormat="1" applyFont="1" applyFill="1" applyBorder="1" applyAlignment="1">
      <alignment/>
    </xf>
    <xf numFmtId="0" fontId="12" fillId="25" borderId="12" xfId="0" applyNumberFormat="1" applyFont="1" applyFill="1" applyBorder="1" applyAlignment="1">
      <alignment/>
    </xf>
    <xf numFmtId="0" fontId="12" fillId="0" borderId="14" xfId="0" applyNumberFormat="1" applyFont="1" applyFill="1" applyBorder="1" applyAlignment="1">
      <alignment horizontal="center" vertical="center" wrapText="1"/>
    </xf>
    <xf numFmtId="0" fontId="15" fillId="0" borderId="13" xfId="0" applyNumberFormat="1" applyFont="1" applyBorder="1" applyAlignment="1">
      <alignment horizontal="center"/>
    </xf>
    <xf numFmtId="0" fontId="18" fillId="0" borderId="0" xfId="42" applyNumberFormat="1" applyFont="1" applyBorder="1" applyAlignment="1">
      <alignment vertical="center"/>
    </xf>
    <xf numFmtId="0" fontId="26" fillId="0" borderId="0" xfId="0" applyNumberFormat="1" applyFont="1" applyBorder="1" applyAlignment="1">
      <alignment/>
    </xf>
    <xf numFmtId="0" fontId="21" fillId="0" borderId="0" xfId="0" applyNumberFormat="1" applyFont="1" applyBorder="1" applyAlignment="1">
      <alignment/>
    </xf>
    <xf numFmtId="0" fontId="24" fillId="0" borderId="0" xfId="0" applyNumberFormat="1" applyFont="1" applyFill="1" applyBorder="1" applyAlignment="1">
      <alignment horizontal="center" wrapText="1"/>
    </xf>
    <xf numFmtId="0" fontId="27" fillId="0" borderId="0" xfId="0" applyNumberFormat="1" applyFont="1" applyBorder="1" applyAlignment="1">
      <alignment/>
    </xf>
    <xf numFmtId="0" fontId="8" fillId="0" borderId="0" xfId="0" applyNumberFormat="1" applyFont="1" applyBorder="1" applyAlignment="1">
      <alignment/>
    </xf>
    <xf numFmtId="0" fontId="25" fillId="0" borderId="0" xfId="0" applyNumberFormat="1" applyFont="1" applyAlignment="1">
      <alignment/>
    </xf>
    <xf numFmtId="0" fontId="25" fillId="0" borderId="0" xfId="0" applyNumberFormat="1" applyFont="1" applyFill="1" applyAlignment="1">
      <alignment/>
    </xf>
    <xf numFmtId="0" fontId="25" fillId="25" borderId="0" xfId="0" applyNumberFormat="1" applyFont="1" applyFill="1" applyAlignment="1">
      <alignment/>
    </xf>
    <xf numFmtId="0" fontId="23" fillId="0" borderId="0" xfId="0" applyNumberFormat="1" applyFont="1" applyAlignment="1">
      <alignment/>
    </xf>
    <xf numFmtId="0" fontId="0" fillId="25" borderId="0" xfId="0" applyNumberFormat="1" applyFont="1" applyFill="1" applyBorder="1" applyAlignment="1">
      <alignment horizontal="left"/>
    </xf>
    <xf numFmtId="0" fontId="0" fillId="25" borderId="12" xfId="0" applyNumberFormat="1" applyFont="1" applyFill="1" applyBorder="1" applyAlignment="1">
      <alignment horizontal="left"/>
    </xf>
    <xf numFmtId="0" fontId="28" fillId="0" borderId="0" xfId="0" applyNumberFormat="1" applyFont="1" applyAlignment="1">
      <alignment/>
    </xf>
    <xf numFmtId="0" fontId="12" fillId="0" borderId="0" xfId="0" applyNumberFormat="1" applyFont="1" applyAlignment="1">
      <alignment/>
    </xf>
    <xf numFmtId="0" fontId="12" fillId="25" borderId="0" xfId="0" applyNumberFormat="1" applyFont="1" applyFill="1" applyAlignment="1">
      <alignment/>
    </xf>
    <xf numFmtId="0" fontId="23" fillId="0" borderId="0" xfId="0" applyNumberFormat="1" applyFont="1" applyAlignment="1">
      <alignment wrapText="1"/>
    </xf>
    <xf numFmtId="0" fontId="31" fillId="0" borderId="0" xfId="0" applyNumberFormat="1" applyFont="1" applyAlignment="1">
      <alignment wrapText="1"/>
    </xf>
    <xf numFmtId="0" fontId="5" fillId="0" borderId="0" xfId="0" applyNumberFormat="1" applyFont="1" applyAlignment="1">
      <alignment/>
    </xf>
    <xf numFmtId="0" fontId="14" fillId="0" borderId="0" xfId="0" applyNumberFormat="1" applyFont="1" applyAlignment="1">
      <alignment horizontal="center" vertical="center"/>
    </xf>
    <xf numFmtId="0" fontId="26" fillId="0" borderId="0" xfId="0" applyNumberFormat="1" applyFont="1" applyAlignment="1">
      <alignment/>
    </xf>
    <xf numFmtId="0" fontId="0" fillId="0" borderId="0" xfId="0" applyNumberFormat="1" applyFont="1" applyBorder="1" applyAlignment="1">
      <alignment/>
    </xf>
    <xf numFmtId="0" fontId="35" fillId="0" borderId="0" xfId="0" applyNumberFormat="1" applyFont="1" applyAlignment="1">
      <alignment/>
    </xf>
    <xf numFmtId="0" fontId="31" fillId="0" borderId="0" xfId="0" applyNumberFormat="1" applyFont="1" applyBorder="1" applyAlignment="1">
      <alignment wrapText="1"/>
    </xf>
    <xf numFmtId="0" fontId="0" fillId="0" borderId="10" xfId="0" applyNumberFormat="1" applyFont="1" applyBorder="1" applyAlignment="1">
      <alignment/>
    </xf>
    <xf numFmtId="0" fontId="14" fillId="0" borderId="10" xfId="0" applyNumberFormat="1" applyFont="1" applyBorder="1" applyAlignment="1">
      <alignment/>
    </xf>
    <xf numFmtId="0" fontId="14" fillId="0" borderId="0" xfId="0" applyNumberFormat="1" applyFont="1" applyAlignment="1">
      <alignment/>
    </xf>
    <xf numFmtId="0" fontId="0" fillId="0" borderId="14" xfId="0" applyNumberFormat="1" applyBorder="1" applyAlignment="1">
      <alignment/>
    </xf>
    <xf numFmtId="0" fontId="0" fillId="0" borderId="10" xfId="0" applyNumberFormat="1" applyFont="1" applyBorder="1" applyAlignment="1">
      <alignment horizontal="left" wrapText="1"/>
    </xf>
    <xf numFmtId="0" fontId="28" fillId="0" borderId="0" xfId="0" applyNumberFormat="1" applyFont="1" applyAlignment="1">
      <alignment/>
    </xf>
    <xf numFmtId="0" fontId="30" fillId="0" borderId="0" xfId="0" applyNumberFormat="1" applyFont="1" applyAlignment="1">
      <alignment/>
    </xf>
    <xf numFmtId="0" fontId="30" fillId="24" borderId="0" xfId="0" applyNumberFormat="1" applyFont="1" applyFill="1" applyAlignment="1">
      <alignment/>
    </xf>
    <xf numFmtId="0" fontId="0" fillId="0" borderId="0" xfId="0" applyNumberFormat="1" applyFont="1" applyAlignment="1">
      <alignment/>
    </xf>
    <xf numFmtId="0" fontId="34" fillId="0" borderId="0" xfId="0" applyNumberFormat="1" applyFont="1" applyBorder="1" applyAlignment="1">
      <alignment/>
    </xf>
    <xf numFmtId="0" fontId="11" fillId="0" borderId="15" xfId="0" applyNumberFormat="1" applyFont="1" applyBorder="1" applyAlignment="1">
      <alignment/>
    </xf>
    <xf numFmtId="0" fontId="30" fillId="0" borderId="0" xfId="0" applyNumberFormat="1" applyFont="1" applyBorder="1" applyAlignment="1">
      <alignment/>
    </xf>
    <xf numFmtId="0" fontId="23" fillId="0" borderId="0" xfId="0" applyNumberFormat="1" applyFont="1" applyBorder="1" applyAlignment="1">
      <alignment horizontal="left"/>
    </xf>
    <xf numFmtId="0" fontId="0" fillId="0" borderId="10" xfId="0" applyNumberFormat="1" applyFont="1" applyBorder="1" applyAlignment="1">
      <alignment horizontal="center"/>
    </xf>
    <xf numFmtId="0" fontId="0" fillId="0" borderId="10" xfId="0" applyNumberFormat="1" applyFont="1" applyBorder="1" applyAlignment="1">
      <alignment wrapText="1"/>
    </xf>
    <xf numFmtId="0" fontId="12" fillId="0" borderId="15" xfId="0" applyNumberFormat="1" applyFont="1" applyBorder="1" applyAlignment="1">
      <alignment wrapText="1"/>
    </xf>
    <xf numFmtId="0" fontId="12" fillId="0" borderId="0" xfId="0" applyNumberFormat="1" applyFont="1" applyBorder="1" applyAlignment="1">
      <alignment/>
    </xf>
    <xf numFmtId="0" fontId="12" fillId="0" borderId="15" xfId="0" applyNumberFormat="1" applyFont="1" applyBorder="1" applyAlignment="1">
      <alignment/>
    </xf>
    <xf numFmtId="0" fontId="0" fillId="0" borderId="0" xfId="0" applyNumberFormat="1" applyFont="1" applyBorder="1" applyAlignment="1">
      <alignment/>
    </xf>
    <xf numFmtId="0" fontId="25" fillId="0" borderId="0" xfId="0" applyNumberFormat="1" applyFont="1" applyBorder="1" applyAlignment="1">
      <alignment/>
    </xf>
    <xf numFmtId="0" fontId="0" fillId="24" borderId="0" xfId="0" applyNumberFormat="1" applyFill="1" applyAlignment="1">
      <alignment/>
    </xf>
    <xf numFmtId="0" fontId="30" fillId="25" borderId="0" xfId="0" applyNumberFormat="1" applyFont="1" applyFill="1" applyAlignment="1">
      <alignment/>
    </xf>
    <xf numFmtId="0" fontId="24" fillId="0" borderId="0" xfId="0" applyNumberFormat="1" applyFont="1" applyAlignment="1">
      <alignment/>
    </xf>
    <xf numFmtId="0" fontId="4" fillId="0" borderId="0" xfId="0" applyNumberFormat="1" applyFont="1" applyAlignment="1">
      <alignment horizontal="center"/>
    </xf>
    <xf numFmtId="0" fontId="15" fillId="0" borderId="11" xfId="0" applyNumberFormat="1" applyFont="1" applyBorder="1" applyAlignment="1">
      <alignment horizontal="left"/>
    </xf>
    <xf numFmtId="0" fontId="14" fillId="0" borderId="11" xfId="0" applyNumberFormat="1" applyFont="1" applyBorder="1" applyAlignment="1">
      <alignment horizontal="left"/>
    </xf>
    <xf numFmtId="0" fontId="15" fillId="0" borderId="11" xfId="0" applyNumberFormat="1" applyFont="1" applyBorder="1" applyAlignment="1">
      <alignment horizontal="left" wrapText="1"/>
    </xf>
    <xf numFmtId="0" fontId="28" fillId="0" borderId="0" xfId="0" applyNumberFormat="1" applyFont="1" applyBorder="1" applyAlignment="1">
      <alignment/>
    </xf>
    <xf numFmtId="0" fontId="28" fillId="0" borderId="0" xfId="0" applyNumberFormat="1" applyFont="1" applyBorder="1" applyAlignment="1">
      <alignment horizontal="center"/>
    </xf>
    <xf numFmtId="0" fontId="23" fillId="0" borderId="0" xfId="0" applyNumberFormat="1" applyFont="1" applyBorder="1" applyAlignment="1">
      <alignment/>
    </xf>
    <xf numFmtId="0" fontId="28" fillId="0" borderId="0" xfId="0" applyNumberFormat="1" applyFont="1" applyBorder="1" applyAlignment="1">
      <alignment wrapText="1"/>
    </xf>
    <xf numFmtId="0" fontId="1" fillId="0" borderId="0" xfId="0" applyNumberFormat="1" applyFont="1" applyBorder="1" applyAlignment="1">
      <alignment/>
    </xf>
    <xf numFmtId="0" fontId="7" fillId="0" borderId="0" xfId="0" applyNumberFormat="1" applyFont="1" applyBorder="1" applyAlignment="1">
      <alignment horizontal="center"/>
    </xf>
    <xf numFmtId="0" fontId="6" fillId="0" borderId="0" xfId="0" applyNumberFormat="1" applyFont="1" applyBorder="1" applyAlignment="1">
      <alignment/>
    </xf>
    <xf numFmtId="0" fontId="9" fillId="0" borderId="0" xfId="0" applyNumberFormat="1" applyFont="1" applyBorder="1" applyAlignment="1">
      <alignment/>
    </xf>
    <xf numFmtId="0" fontId="0" fillId="0" borderId="0" xfId="0" applyNumberFormat="1" applyFont="1" applyAlignment="1">
      <alignment horizontal="center" wrapText="1"/>
    </xf>
    <xf numFmtId="0" fontId="0" fillId="0" borderId="0" xfId="0" applyNumberFormat="1" applyFont="1" applyAlignment="1">
      <alignment horizontal="center"/>
    </xf>
    <xf numFmtId="0" fontId="0" fillId="25" borderId="0" xfId="0" applyNumberFormat="1" applyFont="1" applyFill="1" applyBorder="1" applyAlignment="1">
      <alignment/>
    </xf>
    <xf numFmtId="0" fontId="24" fillId="0" borderId="0" xfId="0" applyNumberFormat="1" applyFont="1" applyFill="1" applyAlignment="1">
      <alignment wrapText="1"/>
    </xf>
    <xf numFmtId="0" fontId="0" fillId="0" borderId="0" xfId="0" applyNumberFormat="1" applyFill="1" applyBorder="1" applyAlignment="1">
      <alignment/>
    </xf>
    <xf numFmtId="0" fontId="0" fillId="0" borderId="10" xfId="0" applyNumberFormat="1" applyFill="1" applyBorder="1" applyAlignment="1">
      <alignment/>
    </xf>
    <xf numFmtId="0" fontId="0" fillId="25" borderId="0" xfId="0" applyNumberFormat="1" applyFont="1" applyFill="1" applyAlignment="1">
      <alignment/>
    </xf>
    <xf numFmtId="0" fontId="24" fillId="0" borderId="0" xfId="0" applyFont="1" applyBorder="1" applyAlignment="1">
      <alignment horizontal="center" wrapText="1"/>
    </xf>
    <xf numFmtId="0" fontId="24" fillId="0" borderId="0" xfId="0" applyFont="1" applyAlignment="1">
      <alignment horizontal="center"/>
    </xf>
    <xf numFmtId="0" fontId="0" fillId="10" borderId="0" xfId="0" applyNumberFormat="1" applyFill="1" applyAlignment="1">
      <alignment/>
    </xf>
    <xf numFmtId="0" fontId="0" fillId="0" borderId="0" xfId="57" applyFont="1" applyBorder="1" applyAlignment="1">
      <alignment horizontal="left"/>
      <protection/>
    </xf>
    <xf numFmtId="0" fontId="15" fillId="0" borderId="16" xfId="0" applyNumberFormat="1" applyFont="1" applyBorder="1" applyAlignment="1">
      <alignment horizontal="left"/>
    </xf>
    <xf numFmtId="0" fontId="14" fillId="0" borderId="10" xfId="57" applyFont="1" applyBorder="1" applyAlignment="1">
      <alignment horizontal="center" vertical="center"/>
      <protection/>
    </xf>
    <xf numFmtId="0" fontId="0" fillId="0" borderId="0" xfId="57" applyFont="1" applyAlignment="1">
      <alignment horizontal="left"/>
      <protection/>
    </xf>
    <xf numFmtId="0" fontId="12" fillId="0" borderId="0" xfId="57" applyFont="1" applyBorder="1" applyAlignment="1">
      <alignment horizontal="left"/>
      <protection/>
    </xf>
    <xf numFmtId="49" fontId="24" fillId="0" borderId="0" xfId="0" applyNumberFormat="1" applyFont="1" applyAlignment="1">
      <alignment horizontal="center"/>
    </xf>
    <xf numFmtId="0" fontId="25" fillId="0" borderId="0" xfId="0" applyFont="1" applyAlignment="1">
      <alignment/>
    </xf>
    <xf numFmtId="0" fontId="0" fillId="25" borderId="0" xfId="0" applyNumberFormat="1" applyFill="1" applyAlignment="1">
      <alignment/>
    </xf>
    <xf numFmtId="0" fontId="14" fillId="25" borderId="10" xfId="0" applyNumberFormat="1" applyFont="1" applyFill="1" applyBorder="1" applyAlignment="1" applyProtection="1">
      <alignment horizontal="center" vertical="center"/>
      <protection/>
    </xf>
    <xf numFmtId="0" fontId="14" fillId="25" borderId="17" xfId="0" applyNumberFormat="1" applyFont="1" applyFill="1" applyBorder="1" applyAlignment="1" applyProtection="1">
      <alignment horizontal="center" vertical="center"/>
      <protection/>
    </xf>
    <xf numFmtId="0" fontId="14" fillId="0" borderId="17" xfId="0" applyNumberFormat="1" applyFont="1" applyBorder="1" applyAlignment="1">
      <alignment horizontal="center"/>
    </xf>
    <xf numFmtId="0" fontId="17" fillId="25" borderId="17" xfId="0" applyNumberFormat="1" applyFont="1" applyFill="1" applyBorder="1" applyAlignment="1" applyProtection="1">
      <alignment horizontal="center" vertical="center"/>
      <protection/>
    </xf>
    <xf numFmtId="49" fontId="15" fillId="25" borderId="10" xfId="0" applyNumberFormat="1" applyFont="1" applyFill="1" applyBorder="1" applyAlignment="1">
      <alignment horizontal="left" vertical="center"/>
    </xf>
    <xf numFmtId="49" fontId="15" fillId="0" borderId="10" xfId="0" applyNumberFormat="1" applyFont="1" applyFill="1" applyBorder="1" applyAlignment="1">
      <alignment horizontal="left" vertical="center"/>
    </xf>
    <xf numFmtId="49" fontId="22" fillId="0" borderId="10" xfId="0" applyNumberFormat="1" applyFont="1" applyFill="1" applyBorder="1" applyAlignment="1">
      <alignment horizontal="left" vertical="center"/>
    </xf>
    <xf numFmtId="0" fontId="15" fillId="0" borderId="17" xfId="0" applyNumberFormat="1" applyFont="1" applyFill="1" applyBorder="1" applyAlignment="1">
      <alignment horizontal="center"/>
    </xf>
    <xf numFmtId="0" fontId="12" fillId="0" borderId="17" xfId="0" applyNumberFormat="1" applyFont="1" applyBorder="1" applyAlignment="1">
      <alignment horizontal="center"/>
    </xf>
    <xf numFmtId="0" fontId="41" fillId="0" borderId="10" xfId="57" applyFont="1" applyBorder="1" applyAlignment="1">
      <alignment horizontal="center" vertical="center" wrapText="1"/>
      <protection/>
    </xf>
    <xf numFmtId="49" fontId="43" fillId="0" borderId="0" xfId="57" applyNumberFormat="1">
      <alignment/>
      <protection/>
    </xf>
    <xf numFmtId="49" fontId="24" fillId="0" borderId="0" xfId="57" applyNumberFormat="1" applyFont="1" applyAlignment="1">
      <alignment wrapText="1"/>
      <protection/>
    </xf>
    <xf numFmtId="49" fontId="10" fillId="0" borderId="0" xfId="57" applyNumberFormat="1" applyFont="1" applyBorder="1" applyAlignment="1">
      <alignment horizontal="left"/>
      <protection/>
    </xf>
    <xf numFmtId="49" fontId="24" fillId="0" borderId="0" xfId="57" applyNumberFormat="1" applyFont="1" applyAlignment="1">
      <alignment/>
      <protection/>
    </xf>
    <xf numFmtId="49" fontId="25" fillId="0" borderId="0" xfId="57" applyNumberFormat="1" applyFont="1" applyAlignment="1">
      <alignment/>
      <protection/>
    </xf>
    <xf numFmtId="49" fontId="10" fillId="0" borderId="0" xfId="57" applyNumberFormat="1" applyFont="1" applyAlignment="1">
      <alignment horizontal="left"/>
      <protection/>
    </xf>
    <xf numFmtId="49" fontId="0" fillId="0" borderId="12" xfId="57" applyNumberFormat="1" applyFont="1" applyBorder="1" applyAlignment="1">
      <alignment horizontal="left"/>
      <protection/>
    </xf>
    <xf numFmtId="49" fontId="10" fillId="0" borderId="12" xfId="57" applyNumberFormat="1" applyFont="1" applyBorder="1" applyAlignment="1">
      <alignment horizontal="left"/>
      <protection/>
    </xf>
    <xf numFmtId="49" fontId="15" fillId="25" borderId="10" xfId="57" applyNumberFormat="1" applyFont="1" applyFill="1" applyBorder="1" applyAlignment="1">
      <alignment horizontal="left"/>
      <protection/>
    </xf>
    <xf numFmtId="49" fontId="14" fillId="0" borderId="1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2" fillId="0" borderId="0" xfId="57" applyNumberFormat="1" applyFont="1">
      <alignment/>
      <protection/>
    </xf>
    <xf numFmtId="49" fontId="25" fillId="0" borderId="0" xfId="57" applyNumberFormat="1" applyFont="1" applyBorder="1" applyAlignment="1">
      <alignment/>
      <protection/>
    </xf>
    <xf numFmtId="49" fontId="44" fillId="0" borderId="0" xfId="57" applyNumberFormat="1" applyFont="1">
      <alignment/>
      <protection/>
    </xf>
    <xf numFmtId="49" fontId="25" fillId="0" borderId="0" xfId="57" applyNumberFormat="1" applyFont="1" applyBorder="1" applyAlignment="1">
      <alignment wrapText="1"/>
      <protection/>
    </xf>
    <xf numFmtId="49" fontId="24" fillId="0" borderId="0" xfId="57" applyNumberFormat="1" applyFont="1" applyBorder="1" applyAlignment="1">
      <alignment/>
      <protection/>
    </xf>
    <xf numFmtId="49" fontId="15" fillId="0" borderId="11" xfId="57" applyNumberFormat="1" applyFont="1" applyBorder="1" applyAlignment="1">
      <alignment wrapText="1"/>
      <protection/>
    </xf>
    <xf numFmtId="49" fontId="15" fillId="0" borderId="10" xfId="57" applyNumberFormat="1" applyFont="1" applyBorder="1" applyAlignment="1">
      <alignment horizontal="center"/>
      <protection/>
    </xf>
    <xf numFmtId="49" fontId="15" fillId="0" borderId="13" xfId="57" applyNumberFormat="1" applyFont="1" applyBorder="1" applyAlignment="1">
      <alignment horizontal="center"/>
      <protection/>
    </xf>
    <xf numFmtId="49" fontId="14" fillId="0" borderId="0" xfId="57" applyNumberFormat="1" applyFont="1" applyBorder="1" applyAlignment="1">
      <alignment/>
      <protection/>
    </xf>
    <xf numFmtId="49" fontId="15" fillId="0" borderId="0" xfId="57" applyNumberFormat="1" applyFont="1" applyBorder="1" applyAlignment="1">
      <alignment horizontal="center" wrapText="1"/>
      <protection/>
    </xf>
    <xf numFmtId="49" fontId="14" fillId="0" borderId="0" xfId="57" applyNumberFormat="1" applyFont="1" applyBorder="1" applyAlignment="1">
      <alignment wrapText="1"/>
      <protection/>
    </xf>
    <xf numFmtId="49" fontId="15" fillId="0" borderId="0" xfId="57" applyNumberFormat="1" applyFont="1" applyBorder="1" applyAlignment="1">
      <alignment/>
      <protection/>
    </xf>
    <xf numFmtId="49" fontId="17" fillId="0" borderId="18" xfId="57" applyNumberFormat="1" applyFont="1" applyFill="1" applyBorder="1" applyAlignment="1">
      <alignment horizontal="center" vertical="center" wrapText="1" readingOrder="1"/>
      <protection/>
    </xf>
    <xf numFmtId="49" fontId="17" fillId="0" borderId="14" xfId="57" applyNumberFormat="1" applyFont="1" applyFill="1" applyBorder="1" applyAlignment="1">
      <alignment horizontal="center" vertical="center" wrapText="1" readingOrder="1"/>
      <protection/>
    </xf>
    <xf numFmtId="49" fontId="17" fillId="0" borderId="16" xfId="57" applyNumberFormat="1" applyFont="1" applyFill="1" applyBorder="1" applyAlignment="1">
      <alignment horizontal="center" vertical="center" wrapText="1" readingOrder="1"/>
      <protection/>
    </xf>
    <xf numFmtId="49" fontId="17" fillId="0" borderId="13" xfId="57" applyNumberFormat="1" applyFont="1" applyFill="1" applyBorder="1" applyAlignment="1">
      <alignment horizontal="center" vertical="center" wrapText="1" readingOrder="1"/>
      <protection/>
    </xf>
    <xf numFmtId="49" fontId="43" fillId="0" borderId="0" xfId="57" applyNumberFormat="1" applyAlignment="1">
      <alignment horizontal="center"/>
      <protection/>
    </xf>
    <xf numFmtId="49" fontId="0" fillId="0" borderId="12" xfId="57" applyNumberFormat="1" applyFont="1" applyBorder="1" applyAlignment="1">
      <alignment/>
      <protection/>
    </xf>
    <xf numFmtId="49" fontId="43" fillId="0" borderId="0" xfId="57" applyNumberFormat="1" applyFont="1" applyAlignment="1">
      <alignment horizontal="center"/>
      <protection/>
    </xf>
    <xf numFmtId="0" fontId="43" fillId="0" borderId="0" xfId="57">
      <alignment/>
      <protection/>
    </xf>
    <xf numFmtId="0" fontId="0" fillId="0" borderId="0" xfId="57" applyNumberFormat="1" applyFont="1" applyAlignment="1">
      <alignment horizontal="left"/>
      <protection/>
    </xf>
    <xf numFmtId="0" fontId="24" fillId="0" borderId="0" xfId="57" applyNumberFormat="1" applyFont="1" applyAlignment="1">
      <alignment wrapText="1"/>
      <protection/>
    </xf>
    <xf numFmtId="3" fontId="0" fillId="25" borderId="0" xfId="57" applyNumberFormat="1" applyFont="1" applyFill="1" applyBorder="1" applyAlignment="1">
      <alignment horizontal="left"/>
      <protection/>
    </xf>
    <xf numFmtId="0" fontId="10" fillId="0" borderId="0" xfId="57" applyFont="1" applyBorder="1" applyAlignment="1">
      <alignment horizontal="left"/>
      <protection/>
    </xf>
    <xf numFmtId="0" fontId="25" fillId="0" borderId="0" xfId="57" applyFont="1" applyAlignment="1">
      <alignment/>
      <protection/>
    </xf>
    <xf numFmtId="0" fontId="10" fillId="0" borderId="0" xfId="57" applyFont="1" applyAlignment="1">
      <alignment horizontal="left"/>
      <protection/>
    </xf>
    <xf numFmtId="0" fontId="0" fillId="0" borderId="12" xfId="57" applyFont="1" applyBorder="1" applyAlignment="1">
      <alignment horizontal="left"/>
      <protection/>
    </xf>
    <xf numFmtId="0" fontId="10" fillId="0" borderId="12" xfId="57" applyFont="1" applyBorder="1" applyAlignment="1">
      <alignment horizontal="left"/>
      <protection/>
    </xf>
    <xf numFmtId="49" fontId="14" fillId="0" borderId="10" xfId="57" applyNumberFormat="1" applyFont="1" applyFill="1" applyBorder="1" applyAlignment="1">
      <alignment horizontal="center" vertical="center" wrapText="1"/>
      <protection/>
    </xf>
    <xf numFmtId="0" fontId="22" fillId="0" borderId="11" xfId="57" applyFont="1" applyBorder="1" applyAlignment="1">
      <alignment wrapText="1"/>
      <protection/>
    </xf>
    <xf numFmtId="0" fontId="15" fillId="0" borderId="10" xfId="57" applyFont="1" applyBorder="1" applyAlignment="1">
      <alignment horizontal="center"/>
      <protection/>
    </xf>
    <xf numFmtId="0" fontId="15" fillId="25" borderId="10" xfId="57" applyFont="1" applyFill="1" applyBorder="1" applyAlignment="1">
      <alignment horizontal="left"/>
      <protection/>
    </xf>
    <xf numFmtId="0" fontId="15" fillId="0" borderId="13" xfId="57" applyFont="1" applyBorder="1" applyAlignment="1">
      <alignment horizontal="center"/>
      <protection/>
    </xf>
    <xf numFmtId="0" fontId="2" fillId="0" borderId="0" xfId="57" applyFont="1">
      <alignment/>
      <protection/>
    </xf>
    <xf numFmtId="0" fontId="25" fillId="0" borderId="0" xfId="57" applyNumberFormat="1" applyFont="1" applyBorder="1" applyAlignment="1">
      <alignment/>
      <protection/>
    </xf>
    <xf numFmtId="0" fontId="44" fillId="0" borderId="0" xfId="57" applyFont="1">
      <alignment/>
      <protection/>
    </xf>
    <xf numFmtId="0" fontId="24" fillId="0" borderId="0" xfId="57" applyFont="1" applyBorder="1" applyAlignment="1">
      <alignment horizontal="center" wrapText="1"/>
      <protection/>
    </xf>
    <xf numFmtId="0" fontId="25" fillId="0" borderId="0" xfId="57" applyFont="1" applyBorder="1" applyAlignment="1">
      <alignment wrapText="1"/>
      <protection/>
    </xf>
    <xf numFmtId="0" fontId="24" fillId="0" borderId="0" xfId="57" applyNumberFormat="1" applyFont="1" applyBorder="1" applyAlignment="1">
      <alignment/>
      <protection/>
    </xf>
    <xf numFmtId="49" fontId="14" fillId="0" borderId="0" xfId="57" applyNumberFormat="1" applyFont="1">
      <alignment/>
      <protection/>
    </xf>
    <xf numFmtId="49" fontId="12" fillId="25" borderId="0" xfId="57" applyNumberFormat="1" applyFont="1" applyFill="1" applyBorder="1" applyAlignment="1">
      <alignment horizontal="left"/>
      <protection/>
    </xf>
    <xf numFmtId="49" fontId="12" fillId="0" borderId="0" xfId="57" applyNumberFormat="1" applyFont="1" applyBorder="1" applyAlignment="1">
      <alignment horizontal="left"/>
      <protection/>
    </xf>
    <xf numFmtId="49" fontId="16" fillId="0" borderId="0" xfId="57" applyNumberFormat="1" applyFont="1" applyBorder="1" applyAlignment="1">
      <alignment horizontal="left"/>
      <protection/>
    </xf>
    <xf numFmtId="49" fontId="14" fillId="0" borderId="19" xfId="57" applyNumberFormat="1" applyFont="1" applyFill="1" applyBorder="1" applyAlignment="1">
      <alignment horizontal="center" vertical="center" wrapText="1"/>
      <protection/>
    </xf>
    <xf numFmtId="49" fontId="26" fillId="0" borderId="0" xfId="57" applyNumberFormat="1" applyFont="1">
      <alignment/>
      <protection/>
    </xf>
    <xf numFmtId="0" fontId="12" fillId="0" borderId="0" xfId="57" applyNumberFormat="1" applyFont="1" applyAlignment="1">
      <alignment horizontal="left"/>
      <protection/>
    </xf>
    <xf numFmtId="3" fontId="0" fillId="25" borderId="0" xfId="57" applyNumberFormat="1" applyFont="1" applyFill="1" applyBorder="1" applyAlignment="1">
      <alignment/>
      <protection/>
    </xf>
    <xf numFmtId="0" fontId="0" fillId="0" borderId="0" xfId="57" applyFont="1" applyBorder="1" applyAlignment="1">
      <alignment/>
      <protection/>
    </xf>
    <xf numFmtId="0" fontId="14" fillId="0" borderId="0" xfId="57" applyFont="1" applyAlignment="1">
      <alignment/>
      <protection/>
    </xf>
    <xf numFmtId="0" fontId="12" fillId="0" borderId="0" xfId="57" applyFont="1" applyBorder="1" applyAlignment="1">
      <alignment/>
      <protection/>
    </xf>
    <xf numFmtId="0" fontId="14" fillId="0" borderId="0" xfId="57" applyFont="1">
      <alignment/>
      <protection/>
    </xf>
    <xf numFmtId="0" fontId="15" fillId="0" borderId="10" xfId="57" applyFont="1" applyBorder="1" applyAlignment="1">
      <alignment horizontal="center" vertical="center"/>
      <protection/>
    </xf>
    <xf numFmtId="0" fontId="15" fillId="25" borderId="10" xfId="57" applyFont="1" applyFill="1" applyBorder="1" applyAlignment="1">
      <alignment horizontal="left" vertical="center"/>
      <protection/>
    </xf>
    <xf numFmtId="0" fontId="15" fillId="0" borderId="13" xfId="57" applyFont="1" applyBorder="1" applyAlignment="1">
      <alignment horizontal="center" vertical="center"/>
      <protection/>
    </xf>
    <xf numFmtId="0" fontId="10" fillId="0" borderId="0" xfId="57" applyNumberFormat="1" applyFont="1" applyBorder="1" applyAlignment="1">
      <alignment/>
      <protection/>
    </xf>
    <xf numFmtId="49" fontId="12" fillId="0" borderId="0" xfId="57" applyNumberFormat="1" applyFont="1" applyBorder="1" applyAlignment="1">
      <alignment/>
      <protection/>
    </xf>
    <xf numFmtId="49" fontId="14" fillId="0" borderId="12" xfId="57" applyNumberFormat="1" applyFont="1" applyBorder="1" applyAlignment="1">
      <alignment/>
      <protection/>
    </xf>
    <xf numFmtId="49" fontId="15" fillId="0" borderId="12" xfId="57" applyNumberFormat="1" applyFont="1" applyBorder="1" applyAlignment="1">
      <alignment/>
      <protection/>
    </xf>
    <xf numFmtId="0" fontId="14" fillId="0" borderId="13" xfId="57" applyFont="1" applyBorder="1" applyAlignment="1">
      <alignment horizontal="center" vertical="center"/>
      <protection/>
    </xf>
    <xf numFmtId="0" fontId="14" fillId="0" borderId="17" xfId="57" applyFont="1" applyBorder="1" applyAlignment="1">
      <alignment horizontal="center" vertical="center"/>
      <protection/>
    </xf>
    <xf numFmtId="49" fontId="25" fillId="0" borderId="20" xfId="57" applyNumberFormat="1" applyFont="1" applyBorder="1" applyAlignment="1">
      <alignment/>
      <protection/>
    </xf>
    <xf numFmtId="49" fontId="14" fillId="25" borderId="0" xfId="57" applyNumberFormat="1" applyFont="1" applyFill="1" applyBorder="1" applyAlignment="1">
      <alignment/>
      <protection/>
    </xf>
    <xf numFmtId="49" fontId="10" fillId="0" borderId="0" xfId="57" applyNumberFormat="1" applyFont="1" applyAlignment="1">
      <alignment horizontal="center"/>
      <protection/>
    </xf>
    <xf numFmtId="49" fontId="24" fillId="0" borderId="0" xfId="57" applyNumberFormat="1" applyFont="1">
      <alignment/>
      <protection/>
    </xf>
    <xf numFmtId="49" fontId="10" fillId="0" borderId="0" xfId="57" applyNumberFormat="1" applyFont="1">
      <alignment/>
      <protection/>
    </xf>
    <xf numFmtId="0" fontId="10" fillId="0" borderId="0" xfId="57" applyFont="1">
      <alignment/>
      <protection/>
    </xf>
    <xf numFmtId="0" fontId="16" fillId="0" borderId="0" xfId="57" applyFont="1" applyBorder="1" applyAlignment="1">
      <alignment/>
      <protection/>
    </xf>
    <xf numFmtId="0" fontId="10" fillId="0" borderId="0" xfId="57" applyFont="1" applyFill="1" applyBorder="1">
      <alignment/>
      <protection/>
    </xf>
    <xf numFmtId="0" fontId="10" fillId="0" borderId="0" xfId="57" applyFont="1" applyFill="1">
      <alignment/>
      <protection/>
    </xf>
    <xf numFmtId="0" fontId="0" fillId="0" borderId="0" xfId="57" applyFont="1" applyAlignment="1">
      <alignment horizontal="center"/>
      <protection/>
    </xf>
    <xf numFmtId="0" fontId="10" fillId="0" borderId="0" xfId="57" applyFont="1" applyAlignment="1">
      <alignment horizontal="center"/>
      <protection/>
    </xf>
    <xf numFmtId="0" fontId="24" fillId="0" borderId="0" xfId="57" applyFont="1">
      <alignment/>
      <protection/>
    </xf>
    <xf numFmtId="0" fontId="24" fillId="0" borderId="0" xfId="57" applyFont="1" applyBorder="1" applyAlignment="1">
      <alignment wrapText="1"/>
      <protection/>
    </xf>
    <xf numFmtId="0" fontId="10" fillId="0" borderId="0" xfId="57" applyFont="1" applyAlignment="1">
      <alignment/>
      <protection/>
    </xf>
    <xf numFmtId="0" fontId="10" fillId="0" borderId="0" xfId="57" applyFont="1" applyBorder="1">
      <alignment/>
      <protection/>
    </xf>
    <xf numFmtId="49" fontId="16" fillId="0" borderId="0" xfId="57" applyNumberFormat="1" applyFont="1" applyAlignment="1">
      <alignment/>
      <protection/>
    </xf>
    <xf numFmtId="0" fontId="12" fillId="0" borderId="0" xfId="57" applyNumberFormat="1" applyFont="1" applyBorder="1" applyAlignment="1">
      <alignment horizontal="center" wrapText="1"/>
      <protection/>
    </xf>
    <xf numFmtId="0" fontId="12" fillId="0" borderId="10" xfId="57" applyNumberFormat="1" applyFont="1" applyFill="1" applyBorder="1" applyAlignment="1">
      <alignment horizontal="center" vertical="center" wrapText="1"/>
      <protection/>
    </xf>
    <xf numFmtId="0" fontId="2" fillId="0" borderId="0" xfId="0" applyNumberFormat="1" applyFont="1" applyAlignment="1" applyProtection="1">
      <alignment/>
      <protection hidden="1" locked="0"/>
    </xf>
    <xf numFmtId="0" fontId="47" fillId="0" borderId="10" xfId="57" applyFont="1" applyFill="1" applyBorder="1" applyAlignment="1">
      <alignment horizontal="center" vertical="center" wrapText="1"/>
      <protection/>
    </xf>
    <xf numFmtId="0" fontId="47" fillId="0" borderId="10" xfId="57" applyFont="1" applyFill="1" applyBorder="1" applyAlignment="1">
      <alignment horizontal="center" vertical="center"/>
      <protection/>
    </xf>
    <xf numFmtId="0" fontId="48" fillId="0" borderId="10" xfId="57" applyFont="1" applyFill="1" applyBorder="1" applyAlignment="1">
      <alignment horizontal="center" vertical="center" wrapText="1"/>
      <protection/>
    </xf>
    <xf numFmtId="41" fontId="14" fillId="0" borderId="10" xfId="57" applyNumberFormat="1" applyFont="1" applyBorder="1" applyAlignment="1" applyProtection="1">
      <alignment vertical="center"/>
      <protection hidden="1"/>
    </xf>
    <xf numFmtId="41" fontId="14" fillId="0" borderId="10" xfId="57" applyNumberFormat="1" applyFont="1" applyBorder="1" applyAlignment="1" applyProtection="1">
      <alignment horizontal="center" vertical="center"/>
      <protection hidden="1"/>
    </xf>
    <xf numFmtId="0" fontId="0" fillId="0" borderId="0" xfId="0" applyFont="1" applyAlignment="1">
      <alignment/>
    </xf>
    <xf numFmtId="3" fontId="0" fillId="25" borderId="0" xfId="57" applyNumberFormat="1" applyFont="1" applyFill="1" applyBorder="1" applyAlignment="1">
      <alignment/>
      <protection/>
    </xf>
    <xf numFmtId="0" fontId="0" fillId="0" borderId="0" xfId="57" applyFont="1" applyBorder="1" applyAlignment="1">
      <alignment/>
      <protection/>
    </xf>
    <xf numFmtId="0" fontId="0" fillId="0" borderId="0" xfId="57" applyFont="1">
      <alignment/>
      <protection/>
    </xf>
    <xf numFmtId="0" fontId="0" fillId="0" borderId="0" xfId="57" applyNumberFormat="1" applyFont="1" applyBorder="1" applyAlignment="1">
      <alignment/>
      <protection/>
    </xf>
    <xf numFmtId="0" fontId="0" fillId="0" borderId="0" xfId="57" applyFont="1">
      <alignment/>
      <protection/>
    </xf>
    <xf numFmtId="0" fontId="50" fillId="0" borderId="13" xfId="57" applyFont="1" applyBorder="1" applyAlignment="1">
      <alignment horizontal="center"/>
      <protection/>
    </xf>
    <xf numFmtId="0" fontId="50" fillId="0" borderId="10" xfId="57" applyFont="1" applyBorder="1" applyAlignment="1">
      <alignment horizontal="center"/>
      <protection/>
    </xf>
    <xf numFmtId="49" fontId="0" fillId="0" borderId="0" xfId="57" applyNumberFormat="1" applyFont="1" applyBorder="1" applyAlignment="1">
      <alignment horizontal="left"/>
      <protection/>
    </xf>
    <xf numFmtId="37" fontId="0" fillId="0" borderId="0" xfId="0" applyNumberFormat="1" applyAlignment="1">
      <alignment/>
    </xf>
    <xf numFmtId="0" fontId="31" fillId="0" borderId="10" xfId="0" applyNumberFormat="1" applyFont="1" applyBorder="1" applyAlignment="1">
      <alignment horizontal="center"/>
    </xf>
    <xf numFmtId="49" fontId="0" fillId="25" borderId="0" xfId="57" applyNumberFormat="1" applyFont="1" applyFill="1" applyBorder="1" applyAlignment="1">
      <alignment horizontal="left"/>
      <protection/>
    </xf>
    <xf numFmtId="49" fontId="0" fillId="0" borderId="0" xfId="57" applyNumberFormat="1" applyFont="1" applyAlignment="1">
      <alignment/>
      <protection/>
    </xf>
    <xf numFmtId="49" fontId="15" fillId="0" borderId="0" xfId="57" applyNumberFormat="1" applyFont="1">
      <alignment/>
      <protection/>
    </xf>
    <xf numFmtId="49" fontId="0" fillId="0" borderId="0" xfId="57" applyNumberFormat="1" applyFont="1" applyAlignment="1">
      <alignment horizontal="left"/>
      <protection/>
    </xf>
    <xf numFmtId="41" fontId="14" fillId="25" borderId="10" xfId="57" applyNumberFormat="1" applyFont="1" applyFill="1" applyBorder="1" applyAlignment="1" applyProtection="1">
      <alignment vertical="center"/>
      <protection hidden="1"/>
    </xf>
    <xf numFmtId="0" fontId="14" fillId="0" borderId="0" xfId="57" applyFont="1" applyFill="1">
      <alignment/>
      <protection/>
    </xf>
    <xf numFmtId="0" fontId="0" fillId="0" borderId="0" xfId="0" applyFont="1" applyBorder="1" applyAlignment="1">
      <alignment/>
    </xf>
    <xf numFmtId="0" fontId="0" fillId="0" borderId="0" xfId="57" applyFont="1" applyAlignment="1">
      <alignment/>
      <protection/>
    </xf>
    <xf numFmtId="41" fontId="0" fillId="0" borderId="10" xfId="57" applyNumberFormat="1" applyFont="1" applyBorder="1" applyAlignment="1" applyProtection="1">
      <alignment vertical="center"/>
      <protection hidden="1"/>
    </xf>
    <xf numFmtId="41" fontId="12" fillId="0" borderId="10" xfId="57" applyNumberFormat="1" applyFont="1" applyBorder="1" applyAlignment="1" applyProtection="1">
      <alignment vertical="center"/>
      <protection hidden="1"/>
    </xf>
    <xf numFmtId="49" fontId="0" fillId="0" borderId="0" xfId="57" applyNumberFormat="1" applyFont="1" applyBorder="1" applyAlignment="1">
      <alignment horizontal="left"/>
      <protection/>
    </xf>
    <xf numFmtId="49" fontId="0" fillId="0" borderId="0" xfId="57" applyNumberFormat="1" applyFont="1" applyBorder="1" applyAlignment="1">
      <alignment/>
      <protection/>
    </xf>
    <xf numFmtId="49" fontId="12" fillId="0" borderId="0" xfId="57" applyNumberFormat="1" applyFont="1">
      <alignment/>
      <protection/>
    </xf>
    <xf numFmtId="49" fontId="14" fillId="0" borderId="0" xfId="57" applyNumberFormat="1" applyFont="1" applyAlignment="1">
      <alignment horizontal="center"/>
      <protection/>
    </xf>
    <xf numFmtId="41" fontId="43" fillId="0" borderId="10" xfId="57" applyNumberFormat="1" applyFont="1" applyBorder="1" applyAlignment="1" applyProtection="1">
      <alignment vertical="center"/>
      <protection hidden="1"/>
    </xf>
    <xf numFmtId="0" fontId="0" fillId="0" borderId="0" xfId="0" applyFont="1" applyAlignment="1">
      <alignment/>
    </xf>
    <xf numFmtId="49" fontId="14" fillId="0" borderId="0" xfId="57" applyNumberFormat="1" applyFont="1" applyAlignment="1">
      <alignment/>
      <protection/>
    </xf>
    <xf numFmtId="41" fontId="43" fillId="0" borderId="10" xfId="57" applyNumberFormat="1" applyFont="1" applyFill="1" applyBorder="1" applyAlignment="1" applyProtection="1">
      <alignment vertical="center"/>
      <protection hidden="1"/>
    </xf>
    <xf numFmtId="41" fontId="17" fillId="25" borderId="10" xfId="57" applyNumberFormat="1" applyFont="1" applyFill="1" applyBorder="1" applyAlignment="1" applyProtection="1">
      <alignment horizontal="center" vertical="center"/>
      <protection hidden="1"/>
    </xf>
    <xf numFmtId="41" fontId="14" fillId="0" borderId="10" xfId="57" applyNumberFormat="1" applyFont="1" applyBorder="1" applyAlignment="1" applyProtection="1">
      <alignment horizontal="center"/>
      <protection hidden="1"/>
    </xf>
    <xf numFmtId="0" fontId="49" fillId="0" borderId="19" xfId="57" applyFont="1" applyBorder="1" applyAlignment="1">
      <alignment vertical="center" wrapText="1"/>
      <protection/>
    </xf>
    <xf numFmtId="0" fontId="50" fillId="0" borderId="21" xfId="57" applyFont="1" applyBorder="1" applyAlignment="1">
      <alignment horizontal="center" vertical="center" wrapText="1"/>
      <protection/>
    </xf>
    <xf numFmtId="0" fontId="31" fillId="0" borderId="13" xfId="57" applyFont="1" applyBorder="1" applyAlignment="1">
      <alignment horizontal="center" vertical="center"/>
      <protection/>
    </xf>
    <xf numFmtId="41" fontId="14" fillId="0" borderId="10" xfId="0" applyNumberFormat="1" applyFont="1" applyFill="1" applyBorder="1" applyAlignment="1" applyProtection="1">
      <alignment horizontal="center"/>
      <protection hidden="1"/>
    </xf>
    <xf numFmtId="41" fontId="14" fillId="0" borderId="10" xfId="0" applyNumberFormat="1" applyFont="1" applyFill="1" applyBorder="1" applyAlignment="1" applyProtection="1">
      <alignment horizontal="center" vertical="center" wrapText="1"/>
      <protection hidden="1"/>
    </xf>
    <xf numFmtId="41" fontId="14" fillId="0" borderId="10" xfId="0" applyNumberFormat="1" applyFont="1" applyFill="1" applyBorder="1" applyAlignment="1" applyProtection="1">
      <alignment/>
      <protection hidden="1"/>
    </xf>
    <xf numFmtId="41" fontId="15" fillId="26" borderId="10" xfId="0" applyNumberFormat="1" applyFont="1" applyFill="1" applyBorder="1" applyAlignment="1" applyProtection="1">
      <alignment horizontal="center" vertical="center"/>
      <protection hidden="1"/>
    </xf>
    <xf numFmtId="41" fontId="15" fillId="20" borderId="10" xfId="0" applyNumberFormat="1" applyFont="1" applyFill="1" applyBorder="1" applyAlignment="1" applyProtection="1">
      <alignment horizontal="center" vertical="center"/>
      <protection hidden="1"/>
    </xf>
    <xf numFmtId="41" fontId="15" fillId="8" borderId="10" xfId="0" applyNumberFormat="1" applyFont="1" applyFill="1" applyBorder="1" applyAlignment="1" applyProtection="1">
      <alignment horizontal="center" vertical="center"/>
      <protection hidden="1"/>
    </xf>
    <xf numFmtId="41" fontId="14" fillId="0" borderId="10" xfId="42" applyNumberFormat="1" applyFont="1" applyBorder="1" applyAlignment="1" applyProtection="1">
      <alignment horizontal="center" vertical="center"/>
      <protection hidden="1"/>
    </xf>
    <xf numFmtId="0" fontId="36" fillId="0" borderId="0" xfId="0" applyNumberFormat="1" applyFont="1" applyBorder="1" applyAlignment="1">
      <alignment horizontal="center"/>
    </xf>
    <xf numFmtId="39" fontId="52" fillId="25" borderId="13" xfId="0" applyNumberFormat="1" applyFont="1" applyFill="1" applyBorder="1" applyAlignment="1" applyProtection="1">
      <alignment horizontal="center" vertical="center"/>
      <protection hidden="1"/>
    </xf>
    <xf numFmtId="39" fontId="52" fillId="25" borderId="17" xfId="0" applyNumberFormat="1" applyFont="1" applyFill="1" applyBorder="1" applyAlignment="1" applyProtection="1">
      <alignment horizontal="center" vertical="center"/>
      <protection hidden="1"/>
    </xf>
    <xf numFmtId="49" fontId="33" fillId="0" borderId="19" xfId="57" applyNumberFormat="1" applyFont="1" applyBorder="1" applyAlignment="1">
      <alignment wrapText="1"/>
      <protection/>
    </xf>
    <xf numFmtId="49" fontId="31" fillId="0" borderId="21" xfId="57" applyNumberFormat="1" applyFont="1" applyBorder="1" applyAlignment="1">
      <alignment horizontal="center" wrapText="1"/>
      <protection/>
    </xf>
    <xf numFmtId="49" fontId="31" fillId="0" borderId="13" xfId="57" applyNumberFormat="1" applyFont="1" applyBorder="1" applyAlignment="1">
      <alignment horizontal="center"/>
      <protection/>
    </xf>
    <xf numFmtId="0" fontId="23" fillId="0" borderId="10" xfId="57" applyFont="1" applyBorder="1" applyAlignment="1">
      <alignment horizontal="center" vertical="center"/>
      <protection/>
    </xf>
    <xf numFmtId="0" fontId="23" fillId="0" borderId="10" xfId="57" applyFont="1" applyBorder="1" applyAlignment="1">
      <alignment horizontal="center"/>
      <protection/>
    </xf>
    <xf numFmtId="49" fontId="31" fillId="0" borderId="16" xfId="57" applyNumberFormat="1" applyFont="1" applyBorder="1" applyAlignment="1">
      <alignment horizontal="center"/>
      <protection/>
    </xf>
    <xf numFmtId="49" fontId="31" fillId="0" borderId="10" xfId="57" applyNumberFormat="1" applyFont="1" applyBorder="1" applyAlignment="1">
      <alignment horizontal="center"/>
      <protection/>
    </xf>
    <xf numFmtId="0" fontId="23" fillId="0" borderId="10" xfId="0" applyNumberFormat="1" applyFont="1" applyBorder="1" applyAlignment="1">
      <alignment horizontal="center"/>
    </xf>
    <xf numFmtId="0" fontId="31"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17" fillId="25" borderId="10" xfId="0" applyNumberFormat="1" applyFont="1" applyFill="1" applyBorder="1" applyAlignment="1" applyProtection="1">
      <alignment horizontal="center" vertical="center"/>
      <protection/>
    </xf>
    <xf numFmtId="0" fontId="6" fillId="0" borderId="10" xfId="0" applyNumberFormat="1" applyFont="1" applyBorder="1" applyAlignment="1">
      <alignment horizontal="center"/>
    </xf>
    <xf numFmtId="0" fontId="53" fillId="0" borderId="19" xfId="0" applyNumberFormat="1" applyFont="1" applyBorder="1" applyAlignment="1">
      <alignment horizontal="center"/>
    </xf>
    <xf numFmtId="0" fontId="36" fillId="0" borderId="15" xfId="0" applyNumberFormat="1" applyFont="1" applyBorder="1" applyAlignment="1">
      <alignment horizontal="center"/>
    </xf>
    <xf numFmtId="0" fontId="14" fillId="0" borderId="14" xfId="0" applyNumberFormat="1" applyFont="1" applyBorder="1" applyAlignment="1">
      <alignment horizontal="center" vertical="center" wrapText="1"/>
    </xf>
    <xf numFmtId="0" fontId="54" fillId="25" borderId="10" xfId="0" applyNumberFormat="1" applyFont="1" applyFill="1" applyBorder="1" applyAlignment="1" applyProtection="1">
      <alignment horizontal="center" vertical="center"/>
      <protection/>
    </xf>
    <xf numFmtId="0" fontId="54" fillId="25" borderId="13" xfId="0" applyNumberFormat="1" applyFont="1" applyFill="1" applyBorder="1" applyAlignment="1" applyProtection="1">
      <alignment horizontal="center" vertical="center"/>
      <protection/>
    </xf>
    <xf numFmtId="41" fontId="14" fillId="0" borderId="10" xfId="57" applyNumberFormat="1" applyFont="1" applyFill="1" applyBorder="1" applyAlignment="1" applyProtection="1">
      <alignment vertical="center"/>
      <protection hidden="1"/>
    </xf>
    <xf numFmtId="0" fontId="0" fillId="25" borderId="0" xfId="0" applyFont="1" applyFill="1" applyAlignment="1">
      <alignment/>
    </xf>
    <xf numFmtId="0" fontId="0" fillId="4" borderId="0" xfId="0" applyFont="1" applyFill="1" applyAlignment="1">
      <alignment/>
    </xf>
    <xf numFmtId="0" fontId="15" fillId="25" borderId="10" xfId="57" applyFont="1" applyFill="1" applyBorder="1" applyAlignment="1">
      <alignment horizontal="center" vertical="center"/>
      <protection/>
    </xf>
    <xf numFmtId="39" fontId="52" fillId="25" borderId="10" xfId="0" applyNumberFormat="1" applyFont="1" applyFill="1" applyBorder="1" applyAlignment="1" applyProtection="1">
      <alignment horizontal="center" vertical="center"/>
      <protection hidden="1"/>
    </xf>
    <xf numFmtId="0" fontId="16" fillId="0" borderId="11" xfId="0" applyNumberFormat="1" applyFont="1" applyBorder="1" applyAlignment="1">
      <alignment vertical="center" wrapText="1"/>
    </xf>
    <xf numFmtId="0" fontId="15" fillId="0" borderId="11"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41" fontId="2" fillId="0" borderId="0" xfId="0" applyNumberFormat="1" applyFont="1" applyAlignment="1">
      <alignment/>
    </xf>
    <xf numFmtId="41" fontId="0" fillId="0" borderId="14" xfId="0" applyNumberFormat="1" applyFont="1" applyBorder="1" applyAlignment="1" applyProtection="1">
      <alignment horizontal="center"/>
      <protection hidden="1"/>
    </xf>
    <xf numFmtId="4" fontId="28" fillId="0" borderId="10" xfId="0" applyNumberFormat="1" applyFont="1" applyBorder="1" applyAlignment="1" applyProtection="1">
      <alignment horizontal="center" vertical="center"/>
      <protection hidden="1"/>
    </xf>
    <xf numFmtId="41" fontId="0" fillId="0" borderId="0" xfId="0" applyNumberFormat="1" applyAlignment="1">
      <alignment/>
    </xf>
    <xf numFmtId="41" fontId="0" fillId="0" borderId="14" xfId="0" applyNumberFormat="1" applyFont="1" applyBorder="1" applyAlignment="1" applyProtection="1">
      <alignment horizontal="center" vertical="center"/>
      <protection hidden="1"/>
    </xf>
    <xf numFmtId="41" fontId="0" fillId="0" borderId="10" xfId="0" applyNumberFormat="1" applyFont="1" applyBorder="1" applyAlignment="1" applyProtection="1">
      <alignment horizontal="center" vertical="center"/>
      <protection hidden="1"/>
    </xf>
    <xf numFmtId="41" fontId="14" fillId="0" borderId="0" xfId="0" applyNumberFormat="1" applyFont="1" applyBorder="1" applyAlignment="1">
      <alignment horizontal="center"/>
    </xf>
    <xf numFmtId="41" fontId="12" fillId="0" borderId="10" xfId="0" applyNumberFormat="1" applyFont="1" applyBorder="1" applyAlignment="1">
      <alignment horizontal="center"/>
    </xf>
    <xf numFmtId="41" fontId="12" fillId="0" borderId="0" xfId="0" applyNumberFormat="1" applyFont="1" applyAlignment="1">
      <alignment horizontal="center"/>
    </xf>
    <xf numFmtId="41" fontId="12" fillId="0" borderId="10" xfId="0" applyNumberFormat="1" applyFont="1" applyBorder="1" applyAlignment="1">
      <alignment horizontal="right"/>
    </xf>
    <xf numFmtId="41" fontId="14" fillId="0" borderId="14" xfId="0" applyNumberFormat="1" applyFont="1" applyBorder="1" applyAlignment="1" applyProtection="1">
      <alignment horizontal="center" vertical="center"/>
      <protection hidden="1"/>
    </xf>
    <xf numFmtId="4" fontId="33" fillId="0" borderId="10" xfId="0" applyNumberFormat="1" applyFont="1" applyBorder="1" applyAlignment="1" applyProtection="1">
      <alignment horizontal="center" vertical="center"/>
      <protection hidden="1"/>
    </xf>
    <xf numFmtId="0" fontId="0" fillId="0" borderId="12" xfId="0" applyNumberFormat="1" applyFont="1" applyBorder="1" applyAlignment="1">
      <alignment/>
    </xf>
    <xf numFmtId="0" fontId="30" fillId="0" borderId="10" xfId="0" applyNumberFormat="1" applyFont="1" applyBorder="1" applyAlignment="1">
      <alignment horizontal="center" vertical="justify"/>
    </xf>
    <xf numFmtId="4" fontId="28" fillId="0" borderId="10" xfId="0" applyNumberFormat="1" applyFont="1" applyBorder="1" applyAlignment="1" applyProtection="1">
      <alignment vertical="center"/>
      <protection hidden="1"/>
    </xf>
    <xf numFmtId="41" fontId="14" fillId="0" borderId="14" xfId="0" applyNumberFormat="1" applyFont="1" applyBorder="1" applyAlignment="1" applyProtection="1">
      <alignment vertical="center"/>
      <protection hidden="1"/>
    </xf>
    <xf numFmtId="41" fontId="14" fillId="0" borderId="10" xfId="0" applyNumberFormat="1" applyFont="1" applyBorder="1" applyAlignment="1" applyProtection="1">
      <alignment vertical="center"/>
      <protection hidden="1"/>
    </xf>
    <xf numFmtId="41" fontId="3" fillId="0" borderId="0" xfId="0" applyNumberFormat="1" applyFont="1" applyBorder="1" applyAlignment="1">
      <alignment horizontal="center"/>
    </xf>
    <xf numFmtId="0" fontId="30" fillId="0" borderId="10" xfId="0" applyNumberFormat="1" applyFont="1" applyBorder="1" applyAlignment="1">
      <alignment horizontal="center"/>
    </xf>
    <xf numFmtId="0" fontId="30" fillId="0" borderId="10" xfId="0" applyFont="1" applyBorder="1" applyAlignment="1">
      <alignment horizontal="center"/>
    </xf>
    <xf numFmtId="41" fontId="0" fillId="0" borderId="10" xfId="0" applyNumberFormat="1" applyBorder="1" applyAlignment="1">
      <alignment horizontal="right"/>
    </xf>
    <xf numFmtId="41" fontId="14" fillId="0" borderId="10" xfId="0" applyNumberFormat="1" applyFont="1" applyBorder="1" applyAlignment="1">
      <alignment horizontal="center"/>
    </xf>
    <xf numFmtId="0" fontId="15" fillId="0" borderId="10" xfId="0" applyNumberFormat="1" applyFont="1" applyBorder="1" applyAlignment="1">
      <alignment horizontal="left" wrapText="1"/>
    </xf>
    <xf numFmtId="41" fontId="17" fillId="0" borderId="0" xfId="0" applyNumberFormat="1" applyFont="1" applyAlignment="1">
      <alignment horizontal="center"/>
    </xf>
    <xf numFmtId="0" fontId="0" fillId="21" borderId="0" xfId="0" applyNumberFormat="1" applyFill="1" applyAlignment="1">
      <alignment/>
    </xf>
    <xf numFmtId="49" fontId="0" fillId="0" borderId="12" xfId="57" applyNumberFormat="1" applyFont="1" applyBorder="1" applyAlignment="1">
      <alignment vertical="center"/>
      <protection/>
    </xf>
    <xf numFmtId="0" fontId="57" fillId="25" borderId="22" xfId="0" applyNumberFormat="1" applyFont="1" applyFill="1" applyBorder="1" applyAlignment="1" applyProtection="1">
      <alignment horizontal="center" vertical="center"/>
      <protection/>
    </xf>
    <xf numFmtId="0" fontId="57" fillId="25" borderId="17" xfId="0" applyNumberFormat="1" applyFont="1" applyFill="1" applyBorder="1" applyAlignment="1" applyProtection="1">
      <alignment horizontal="center" vertical="center"/>
      <protection/>
    </xf>
    <xf numFmtId="3" fontId="15" fillId="25" borderId="22" xfId="0" applyNumberFormat="1" applyFont="1" applyFill="1" applyBorder="1" applyAlignment="1" applyProtection="1">
      <alignment horizontal="center" vertical="center"/>
      <protection hidden="1"/>
    </xf>
    <xf numFmtId="0" fontId="5" fillId="0" borderId="15" xfId="0" applyNumberFormat="1" applyFont="1" applyBorder="1" applyAlignment="1">
      <alignment/>
    </xf>
    <xf numFmtId="49" fontId="14" fillId="25" borderId="10" xfId="0" applyNumberFormat="1" applyFont="1" applyFill="1" applyBorder="1" applyAlignment="1">
      <alignment horizontal="left" vertical="center"/>
    </xf>
    <xf numFmtId="41" fontId="0" fillId="0" borderId="0" xfId="0" applyNumberFormat="1" applyFont="1" applyAlignment="1">
      <alignment/>
    </xf>
    <xf numFmtId="41" fontId="4" fillId="0" borderId="0" xfId="0" applyNumberFormat="1" applyFont="1" applyBorder="1" applyAlignment="1">
      <alignment horizontal="center"/>
    </xf>
    <xf numFmtId="41" fontId="0" fillId="0" borderId="0" xfId="0" applyNumberFormat="1" applyFont="1" applyBorder="1" applyAlignment="1">
      <alignment/>
    </xf>
    <xf numFmtId="41" fontId="0" fillId="0" borderId="0" xfId="0" applyNumberFormat="1" applyFont="1" applyAlignment="1">
      <alignment/>
    </xf>
    <xf numFmtId="4" fontId="0" fillId="0" borderId="0" xfId="0" applyNumberFormat="1" applyAlignment="1">
      <alignment/>
    </xf>
    <xf numFmtId="3" fontId="0" fillId="0" borderId="0" xfId="0" applyNumberFormat="1" applyAlignment="1">
      <alignment/>
    </xf>
    <xf numFmtId="39" fontId="0" fillId="0" borderId="0" xfId="0" applyNumberFormat="1" applyAlignment="1">
      <alignment/>
    </xf>
    <xf numFmtId="41" fontId="0" fillId="0" borderId="0" xfId="0" applyNumberFormat="1" applyFill="1" applyAlignment="1">
      <alignment/>
    </xf>
    <xf numFmtId="41" fontId="32" fillId="0" borderId="0" xfId="0" applyNumberFormat="1" applyFont="1" applyFill="1" applyAlignment="1">
      <alignment/>
    </xf>
    <xf numFmtId="41" fontId="32" fillId="0" borderId="0" xfId="0" applyNumberFormat="1" applyFont="1" applyAlignment="1">
      <alignment/>
    </xf>
    <xf numFmtId="41" fontId="32" fillId="0" borderId="0" xfId="0" applyNumberFormat="1" applyFont="1" applyBorder="1" applyAlignment="1">
      <alignment/>
    </xf>
    <xf numFmtId="41" fontId="0" fillId="0" borderId="0" xfId="0" applyNumberFormat="1" applyBorder="1" applyAlignment="1">
      <alignment/>
    </xf>
    <xf numFmtId="41" fontId="32" fillId="25" borderId="0" xfId="0" applyNumberFormat="1" applyFont="1" applyFill="1" applyBorder="1" applyAlignment="1">
      <alignment/>
    </xf>
    <xf numFmtId="0" fontId="53" fillId="0" borderId="19" xfId="0" applyNumberFormat="1" applyFont="1" applyBorder="1" applyAlignment="1">
      <alignment horizontal="center" vertical="center" wrapText="1"/>
    </xf>
    <xf numFmtId="0" fontId="23" fillId="0" borderId="10" xfId="0" applyNumberFormat="1" applyFont="1" applyBorder="1" applyAlignment="1">
      <alignment horizontal="center" vertical="center" wrapText="1"/>
    </xf>
    <xf numFmtId="0" fontId="53" fillId="0" borderId="10" xfId="0" applyNumberFormat="1" applyFont="1" applyBorder="1" applyAlignment="1">
      <alignment horizontal="center" vertical="center" wrapText="1"/>
    </xf>
    <xf numFmtId="41" fontId="0" fillId="0" borderId="10" xfId="57" applyNumberFormat="1" applyFont="1" applyBorder="1" applyAlignment="1" applyProtection="1">
      <alignment horizontal="center" vertical="center"/>
      <protection hidden="1"/>
    </xf>
    <xf numFmtId="41" fontId="0" fillId="0" borderId="10" xfId="57" applyNumberFormat="1" applyFont="1" applyBorder="1" applyAlignment="1" applyProtection="1">
      <alignment vertical="center"/>
      <protection hidden="1"/>
    </xf>
    <xf numFmtId="41" fontId="0" fillId="25" borderId="10" xfId="57" applyNumberFormat="1" applyFont="1" applyFill="1" applyBorder="1" applyAlignment="1" applyProtection="1">
      <alignment vertical="center"/>
      <protection hidden="1"/>
    </xf>
    <xf numFmtId="41" fontId="43" fillId="0" borderId="10" xfId="57" applyNumberFormat="1" applyFont="1" applyBorder="1" applyAlignment="1" applyProtection="1">
      <alignment horizontal="center"/>
      <protection hidden="1"/>
    </xf>
    <xf numFmtId="41" fontId="15" fillId="20" borderId="17" xfId="0" applyNumberFormat="1" applyFont="1" applyFill="1" applyBorder="1" applyAlignment="1" applyProtection="1">
      <alignment horizontal="center" vertical="center"/>
      <protection hidden="1"/>
    </xf>
    <xf numFmtId="2" fontId="0" fillId="0" borderId="0" xfId="0" applyNumberFormat="1" applyAlignment="1">
      <alignment/>
    </xf>
    <xf numFmtId="0" fontId="32" fillId="0" borderId="0" xfId="0" applyNumberFormat="1" applyFont="1" applyAlignment="1">
      <alignment/>
    </xf>
    <xf numFmtId="39" fontId="52" fillId="25" borderId="23" xfId="0" applyNumberFormat="1" applyFont="1" applyFill="1" applyBorder="1" applyAlignment="1" applyProtection="1">
      <alignment horizontal="center" vertical="center"/>
      <protection hidden="1"/>
    </xf>
    <xf numFmtId="41" fontId="41" fillId="0" borderId="10" xfId="57" applyNumberFormat="1" applyFont="1" applyBorder="1" applyAlignment="1" applyProtection="1">
      <alignment vertical="center"/>
      <protection hidden="1"/>
    </xf>
    <xf numFmtId="41" fontId="1" fillId="0" borderId="0" xfId="0" applyNumberFormat="1" applyFont="1" applyBorder="1" applyAlignment="1">
      <alignment/>
    </xf>
    <xf numFmtId="41" fontId="14" fillId="25" borderId="10" xfId="0" applyNumberFormat="1" applyFont="1" applyFill="1" applyBorder="1" applyAlignment="1" applyProtection="1">
      <alignment horizontal="right" vertical="center"/>
      <protection hidden="1"/>
    </xf>
    <xf numFmtId="41" fontId="14" fillId="0" borderId="10" xfId="0" applyNumberFormat="1" applyFont="1" applyFill="1" applyBorder="1" applyAlignment="1" applyProtection="1">
      <alignment horizontal="right" vertical="center"/>
      <protection hidden="1"/>
    </xf>
    <xf numFmtId="41" fontId="14" fillId="25" borderId="17" xfId="0" applyNumberFormat="1" applyFont="1" applyFill="1" applyBorder="1" applyAlignment="1" applyProtection="1">
      <alignment horizontal="right" vertical="center"/>
      <protection hidden="1"/>
    </xf>
    <xf numFmtId="41" fontId="14" fillId="0" borderId="17" xfId="0" applyNumberFormat="1" applyFont="1" applyFill="1" applyBorder="1" applyAlignment="1" applyProtection="1">
      <alignment horizontal="right" vertical="center"/>
      <protection hidden="1"/>
    </xf>
    <xf numFmtId="3" fontId="55" fillId="25" borderId="10" xfId="0" applyNumberFormat="1" applyFont="1" applyFill="1" applyBorder="1" applyAlignment="1" applyProtection="1">
      <alignment horizontal="center" vertical="center"/>
      <protection hidden="1"/>
    </xf>
    <xf numFmtId="3" fontId="55" fillId="25" borderId="17" xfId="0" applyNumberFormat="1" applyFont="1" applyFill="1" applyBorder="1" applyAlignment="1" applyProtection="1">
      <alignment horizontal="center" vertical="center"/>
      <protection hidden="1"/>
    </xf>
    <xf numFmtId="3" fontId="55" fillId="0" borderId="10" xfId="0" applyNumberFormat="1" applyFont="1" applyFill="1" applyBorder="1" applyAlignment="1" applyProtection="1">
      <alignment horizontal="center" vertical="center"/>
      <protection hidden="1"/>
    </xf>
    <xf numFmtId="3" fontId="55" fillId="25" borderId="14" xfId="0" applyNumberFormat="1" applyFont="1" applyFill="1" applyBorder="1" applyAlignment="1" applyProtection="1">
      <alignment horizontal="center" vertical="center"/>
      <protection hidden="1"/>
    </xf>
    <xf numFmtId="3" fontId="55" fillId="0" borderId="14" xfId="0" applyNumberFormat="1" applyFont="1" applyFill="1" applyBorder="1" applyAlignment="1" applyProtection="1">
      <alignment horizontal="center" vertical="center"/>
      <protection hidden="1"/>
    </xf>
    <xf numFmtId="3" fontId="55" fillId="0" borderId="17" xfId="0" applyNumberFormat="1" applyFont="1" applyFill="1" applyBorder="1" applyAlignment="1" applyProtection="1">
      <alignment horizontal="center" vertical="center"/>
      <protection hidden="1"/>
    </xf>
    <xf numFmtId="0" fontId="17" fillId="0" borderId="21" xfId="0" applyFont="1" applyBorder="1" applyAlignment="1">
      <alignment horizontal="left" vertical="center"/>
    </xf>
    <xf numFmtId="0" fontId="17" fillId="0" borderId="19" xfId="0" applyFont="1" applyBorder="1" applyAlignment="1">
      <alignment horizontal="left" vertical="center"/>
    </xf>
    <xf numFmtId="41" fontId="14" fillId="25" borderId="10" xfId="57" applyNumberFormat="1" applyFont="1" applyFill="1" applyBorder="1" applyAlignment="1" applyProtection="1">
      <alignment horizontal="left" vertical="center"/>
      <protection hidden="1"/>
    </xf>
    <xf numFmtId="41" fontId="14" fillId="25" borderId="10" xfId="57" applyNumberFormat="1" applyFont="1" applyFill="1" applyBorder="1" applyAlignment="1" applyProtection="1">
      <alignment horizontal="center"/>
      <protection hidden="1"/>
    </xf>
    <xf numFmtId="0" fontId="15" fillId="21" borderId="13" xfId="57" applyFont="1" applyFill="1" applyBorder="1" applyAlignment="1">
      <alignment horizontal="center" vertical="center"/>
      <protection/>
    </xf>
    <xf numFmtId="2" fontId="58" fillId="0" borderId="0" xfId="0" applyNumberFormat="1" applyFont="1" applyAlignment="1">
      <alignment horizontal="left" vertical="center" wrapText="1"/>
    </xf>
    <xf numFmtId="2" fontId="58" fillId="0" borderId="0" xfId="0" applyNumberFormat="1" applyFont="1" applyAlignment="1">
      <alignment horizontal="center" vertical="center" wrapText="1"/>
    </xf>
    <xf numFmtId="2" fontId="63" fillId="0" borderId="14"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1" fontId="64" fillId="0" borderId="10" xfId="0" applyNumberFormat="1" applyFont="1" applyBorder="1" applyAlignment="1">
      <alignment horizontal="center" vertical="center" wrapText="1"/>
    </xf>
    <xf numFmtId="1" fontId="58" fillId="22" borderId="10" xfId="0" applyNumberFormat="1" applyFont="1" applyFill="1" applyBorder="1" applyAlignment="1">
      <alignment horizontal="center" vertical="center" wrapText="1"/>
    </xf>
    <xf numFmtId="0" fontId="15" fillId="0" borderId="13" xfId="0" applyFont="1" applyBorder="1" applyAlignment="1">
      <alignment horizontal="center" vertical="center"/>
    </xf>
    <xf numFmtId="0" fontId="10" fillId="0" borderId="10" xfId="0" applyNumberFormat="1" applyFont="1" applyBorder="1" applyAlignment="1">
      <alignment horizontal="left" vertical="center"/>
    </xf>
    <xf numFmtId="0" fontId="14" fillId="0" borderId="10" xfId="0" applyFont="1" applyBorder="1" applyAlignment="1">
      <alignment horizontal="center" vertical="center"/>
    </xf>
    <xf numFmtId="0" fontId="0" fillId="0" borderId="10" xfId="0" applyNumberFormat="1" applyFont="1" applyBorder="1" applyAlignment="1">
      <alignment horizontal="left" vertical="center"/>
    </xf>
    <xf numFmtId="41" fontId="6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185" fontId="14" fillId="0" borderId="10" xfId="42" applyNumberFormat="1" applyFont="1" applyBorder="1" applyAlignment="1">
      <alignment horizontal="center" vertical="center"/>
    </xf>
    <xf numFmtId="186" fontId="15" fillId="0" borderId="10" xfId="42" applyNumberFormat="1" applyFont="1" applyBorder="1" applyAlignment="1">
      <alignment horizontal="center" vertical="center"/>
    </xf>
    <xf numFmtId="0" fontId="10" fillId="0" borderId="10" xfId="0" applyNumberFormat="1" applyFont="1" applyBorder="1" applyAlignment="1">
      <alignment horizontal="center" vertical="center" wrapText="1"/>
    </xf>
    <xf numFmtId="2" fontId="66" fillId="0" borderId="10" xfId="0" applyNumberFormat="1" applyFont="1" applyBorder="1" applyAlignment="1">
      <alignment horizontal="center" vertical="center" wrapText="1"/>
    </xf>
    <xf numFmtId="2" fontId="67" fillId="0" borderId="0" xfId="0" applyNumberFormat="1" applyFont="1" applyAlignment="1">
      <alignment horizontal="center" vertical="center" wrapText="1"/>
    </xf>
    <xf numFmtId="2" fontId="68" fillId="0" borderId="0" xfId="0" applyNumberFormat="1" applyFont="1" applyAlignment="1">
      <alignment horizontal="center" vertical="center" wrapText="1"/>
    </xf>
    <xf numFmtId="2" fontId="69" fillId="0" borderId="0" xfId="0" applyNumberFormat="1" applyFont="1" applyAlignment="1">
      <alignment horizontal="center" vertical="center" wrapText="1"/>
    </xf>
    <xf numFmtId="2" fontId="60" fillId="0" borderId="0" xfId="0" applyNumberFormat="1" applyFont="1" applyAlignment="1">
      <alignment horizontal="justify" vertical="center" wrapText="1"/>
    </xf>
    <xf numFmtId="1" fontId="58" fillId="0" borderId="10" xfId="0" applyNumberFormat="1" applyFont="1" applyBorder="1" applyAlignment="1">
      <alignment horizontal="center" vertical="center" wrapText="1"/>
    </xf>
    <xf numFmtId="1" fontId="58" fillId="0" borderId="17" xfId="0" applyNumberFormat="1" applyFont="1" applyBorder="1" applyAlignment="1">
      <alignment horizontal="center" vertical="center" wrapText="1"/>
    </xf>
    <xf numFmtId="2" fontId="69" fillId="0" borderId="0" xfId="0" applyNumberFormat="1" applyFont="1" applyAlignment="1">
      <alignment horizontal="left" vertical="center" wrapText="1"/>
    </xf>
    <xf numFmtId="2" fontId="69" fillId="0" borderId="0" xfId="0" applyNumberFormat="1" applyFont="1" applyAlignment="1">
      <alignment vertical="center" wrapText="1"/>
    </xf>
    <xf numFmtId="0" fontId="62" fillId="0" borderId="10" xfId="0" applyFont="1" applyBorder="1" applyAlignment="1">
      <alignment horizontal="center" vertical="center" wrapText="1"/>
    </xf>
    <xf numFmtId="0" fontId="65" fillId="0" borderId="10" xfId="0" applyFont="1" applyBorder="1" applyAlignment="1">
      <alignment horizontal="center" vertical="center"/>
    </xf>
    <xf numFmtId="0" fontId="65" fillId="0" borderId="17" xfId="0" applyFont="1" applyBorder="1" applyAlignment="1">
      <alignment horizontal="center" vertical="center"/>
    </xf>
    <xf numFmtId="2" fontId="67" fillId="0" borderId="20" xfId="0" applyNumberFormat="1" applyFont="1" applyBorder="1" applyAlignment="1">
      <alignment vertical="center" wrapText="1"/>
    </xf>
    <xf numFmtId="2" fontId="68" fillId="0" borderId="0" xfId="0" applyNumberFormat="1" applyFont="1" applyAlignment="1">
      <alignment vertical="center" wrapText="1"/>
    </xf>
    <xf numFmtId="2" fontId="63" fillId="0" borderId="10" xfId="0" applyNumberFormat="1" applyFont="1" applyBorder="1" applyAlignment="1">
      <alignment horizontal="center" vertical="center" wrapText="1"/>
    </xf>
    <xf numFmtId="186" fontId="15" fillId="0" borderId="10" xfId="42" applyNumberFormat="1" applyFont="1" applyBorder="1" applyAlignment="1">
      <alignment vertical="center"/>
    </xf>
    <xf numFmtId="41" fontId="62" fillId="20" borderId="10" xfId="0" applyNumberFormat="1" applyFont="1" applyFill="1" applyBorder="1" applyAlignment="1">
      <alignment horizontal="center" vertical="center" wrapText="1"/>
    </xf>
    <xf numFmtId="41" fontId="15" fillId="20" borderId="21" xfId="57" applyNumberFormat="1" applyFont="1" applyFill="1" applyBorder="1" applyAlignment="1" applyProtection="1">
      <alignment horizontal="center" vertical="center" wrapText="1"/>
      <protection hidden="1"/>
    </xf>
    <xf numFmtId="41" fontId="14" fillId="20" borderId="21" xfId="57" applyNumberFormat="1" applyFont="1" applyFill="1" applyBorder="1" applyAlignment="1" applyProtection="1">
      <alignment horizontal="center" vertical="center" wrapText="1"/>
      <protection hidden="1"/>
    </xf>
    <xf numFmtId="41" fontId="14" fillId="20" borderId="13" xfId="57" applyNumberFormat="1" applyFont="1" applyFill="1" applyBorder="1" applyAlignment="1" applyProtection="1">
      <alignment horizontal="center" vertical="center"/>
      <protection hidden="1"/>
    </xf>
    <xf numFmtId="41" fontId="14" fillId="20" borderId="10" xfId="57" applyNumberFormat="1" applyFont="1" applyFill="1" applyBorder="1" applyAlignment="1" applyProtection="1">
      <alignment horizontal="center" vertical="center"/>
      <protection hidden="1"/>
    </xf>
    <xf numFmtId="41" fontId="22" fillId="20" borderId="21" xfId="57" applyNumberFormat="1" applyFont="1" applyFill="1" applyBorder="1" applyAlignment="1" applyProtection="1">
      <alignment horizontal="center" wrapText="1"/>
      <protection hidden="1"/>
    </xf>
    <xf numFmtId="41" fontId="15" fillId="20" borderId="10" xfId="57" applyNumberFormat="1" applyFont="1" applyFill="1" applyBorder="1" applyAlignment="1" applyProtection="1">
      <alignment horizontal="center"/>
      <protection hidden="1"/>
    </xf>
    <xf numFmtId="41" fontId="14" fillId="20" borderId="10" xfId="57" applyNumberFormat="1" applyFont="1" applyFill="1" applyBorder="1" applyAlignment="1" applyProtection="1">
      <alignment horizontal="center"/>
      <protection hidden="1"/>
    </xf>
    <xf numFmtId="41" fontId="17" fillId="20" borderId="10" xfId="57" applyNumberFormat="1" applyFont="1" applyFill="1" applyBorder="1" applyAlignment="1" applyProtection="1">
      <alignment horizontal="center" vertical="center"/>
      <protection hidden="1"/>
    </xf>
    <xf numFmtId="41" fontId="10" fillId="20" borderId="10" xfId="0" applyNumberFormat="1" applyFont="1" applyFill="1" applyBorder="1" applyAlignment="1" applyProtection="1">
      <alignment horizontal="center"/>
      <protection hidden="1"/>
    </xf>
    <xf numFmtId="41" fontId="10" fillId="20" borderId="14" xfId="0" applyNumberFormat="1" applyFont="1" applyFill="1" applyBorder="1" applyAlignment="1" applyProtection="1">
      <alignment horizontal="center"/>
      <protection hidden="1"/>
    </xf>
    <xf numFmtId="41" fontId="10" fillId="20" borderId="13" xfId="0" applyNumberFormat="1" applyFont="1" applyFill="1" applyBorder="1" applyAlignment="1" applyProtection="1">
      <alignment horizontal="center"/>
      <protection hidden="1"/>
    </xf>
    <xf numFmtId="0" fontId="10" fillId="20" borderId="10" xfId="0" applyNumberFormat="1" applyFont="1" applyFill="1" applyBorder="1" applyAlignment="1">
      <alignment/>
    </xf>
    <xf numFmtId="41" fontId="10" fillId="20" borderId="10" xfId="0" applyNumberFormat="1" applyFont="1" applyFill="1" applyBorder="1" applyAlignment="1">
      <alignment horizontal="center"/>
    </xf>
    <xf numFmtId="0" fontId="10" fillId="20" borderId="10" xfId="0" applyNumberFormat="1" applyFont="1" applyFill="1" applyBorder="1" applyAlignment="1">
      <alignment horizontal="center"/>
    </xf>
    <xf numFmtId="41" fontId="10" fillId="20" borderId="10" xfId="0" applyNumberFormat="1" applyFont="1" applyFill="1" applyBorder="1" applyAlignment="1" applyProtection="1">
      <alignment horizontal="center" vertical="center"/>
      <protection hidden="1"/>
    </xf>
    <xf numFmtId="41" fontId="10" fillId="20" borderId="14" xfId="0" applyNumberFormat="1" applyFont="1" applyFill="1" applyBorder="1" applyAlignment="1" applyProtection="1">
      <alignment horizontal="center" vertical="center"/>
      <protection hidden="1"/>
    </xf>
    <xf numFmtId="41" fontId="10" fillId="20" borderId="13" xfId="0" applyNumberFormat="1" applyFont="1" applyFill="1" applyBorder="1" applyAlignment="1" applyProtection="1">
      <alignment horizontal="center" vertical="center"/>
      <protection hidden="1"/>
    </xf>
    <xf numFmtId="0" fontId="16" fillId="20" borderId="10" xfId="0" applyNumberFormat="1" applyFont="1" applyFill="1" applyBorder="1" applyAlignment="1">
      <alignment horizontal="center" vertical="center" wrapText="1"/>
    </xf>
    <xf numFmtId="0" fontId="10" fillId="20" borderId="10" xfId="0" applyNumberFormat="1" applyFont="1" applyFill="1" applyBorder="1" applyAlignment="1">
      <alignment horizontal="left" vertical="center" wrapText="1"/>
    </xf>
    <xf numFmtId="41" fontId="16" fillId="20" borderId="10" xfId="0" applyNumberFormat="1" applyFont="1" applyFill="1" applyBorder="1" applyAlignment="1">
      <alignment horizontal="center"/>
    </xf>
    <xf numFmtId="0" fontId="10" fillId="20" borderId="22" xfId="0" applyNumberFormat="1" applyFont="1" applyFill="1" applyBorder="1" applyAlignment="1">
      <alignment horizontal="left" vertical="center" wrapText="1"/>
    </xf>
    <xf numFmtId="41" fontId="16" fillId="20" borderId="14" xfId="0" applyNumberFormat="1" applyFont="1" applyFill="1" applyBorder="1" applyAlignment="1">
      <alignment horizontal="center"/>
    </xf>
    <xf numFmtId="41" fontId="15" fillId="20" borderId="14" xfId="0" applyNumberFormat="1" applyFont="1" applyFill="1" applyBorder="1" applyAlignment="1" applyProtection="1">
      <alignment horizontal="center" vertical="center"/>
      <protection hidden="1"/>
    </xf>
    <xf numFmtId="41" fontId="15" fillId="20" borderId="13" xfId="0" applyNumberFormat="1" applyFont="1" applyFill="1" applyBorder="1" applyAlignment="1" applyProtection="1">
      <alignment horizontal="center" vertical="center"/>
      <protection hidden="1"/>
    </xf>
    <xf numFmtId="0" fontId="10" fillId="20" borderId="10" xfId="0" applyFont="1" applyFill="1" applyBorder="1" applyAlignment="1">
      <alignment horizontal="center"/>
    </xf>
    <xf numFmtId="0" fontId="10" fillId="20" borderId="10" xfId="0" applyFont="1" applyFill="1" applyBorder="1" applyAlignment="1">
      <alignment/>
    </xf>
    <xf numFmtId="41" fontId="10" fillId="20" borderId="10" xfId="0" applyNumberFormat="1" applyFont="1" applyFill="1" applyBorder="1" applyAlignment="1">
      <alignment horizontal="right"/>
    </xf>
    <xf numFmtId="0" fontId="10" fillId="20" borderId="14" xfId="0" applyNumberFormat="1" applyFont="1" applyFill="1" applyBorder="1" applyAlignment="1">
      <alignment horizontal="center"/>
    </xf>
    <xf numFmtId="0" fontId="10" fillId="20" borderId="22" xfId="0" applyNumberFormat="1" applyFont="1" applyFill="1" applyBorder="1" applyAlignment="1">
      <alignment/>
    </xf>
    <xf numFmtId="41" fontId="10" fillId="20" borderId="14" xfId="0" applyNumberFormat="1" applyFont="1" applyFill="1" applyBorder="1" applyAlignment="1">
      <alignment horizontal="center"/>
    </xf>
    <xf numFmtId="0" fontId="0" fillId="25" borderId="0" xfId="0" applyNumberFormat="1" applyFont="1" applyFill="1" applyAlignment="1">
      <alignment/>
    </xf>
    <xf numFmtId="39" fontId="52" fillId="20" borderId="10" xfId="0" applyNumberFormat="1" applyFont="1" applyFill="1" applyBorder="1" applyAlignment="1" applyProtection="1">
      <alignment horizontal="center" vertical="center"/>
      <protection hidden="1"/>
    </xf>
    <xf numFmtId="0" fontId="15" fillId="20" borderId="10" xfId="0" applyNumberFormat="1" applyFont="1" applyFill="1" applyBorder="1" applyAlignment="1" applyProtection="1">
      <alignment horizontal="center" vertical="center"/>
      <protection/>
    </xf>
    <xf numFmtId="49" fontId="15" fillId="20" borderId="10" xfId="0" applyNumberFormat="1" applyFont="1" applyFill="1" applyBorder="1" applyAlignment="1" applyProtection="1">
      <alignment horizontal="left" vertical="center"/>
      <protection/>
    </xf>
    <xf numFmtId="41" fontId="14" fillId="20" borderId="10" xfId="0" applyNumberFormat="1" applyFont="1" applyFill="1" applyBorder="1" applyAlignment="1" applyProtection="1">
      <alignment horizontal="center" vertical="center"/>
      <protection hidden="1"/>
    </xf>
    <xf numFmtId="41" fontId="15" fillId="20" borderId="23" xfId="0" applyNumberFormat="1" applyFont="1" applyFill="1" applyBorder="1" applyAlignment="1" applyProtection="1">
      <alignment horizontal="center" vertical="center"/>
      <protection hidden="1"/>
    </xf>
    <xf numFmtId="41" fontId="14" fillId="20" borderId="17" xfId="0" applyNumberFormat="1" applyFont="1" applyFill="1" applyBorder="1" applyAlignment="1" applyProtection="1">
      <alignment horizontal="center" vertical="center"/>
      <protection hidden="1"/>
    </xf>
    <xf numFmtId="0" fontId="15" fillId="20" borderId="13" xfId="0" applyNumberFormat="1" applyFont="1" applyFill="1" applyBorder="1" applyAlignment="1" applyProtection="1">
      <alignment horizontal="center" vertical="center"/>
      <protection/>
    </xf>
    <xf numFmtId="49" fontId="15" fillId="20" borderId="13" xfId="0" applyNumberFormat="1" applyFont="1" applyFill="1" applyBorder="1" applyAlignment="1" applyProtection="1">
      <alignment horizontal="left" vertical="center"/>
      <protection/>
    </xf>
    <xf numFmtId="39" fontId="52" fillId="20" borderId="13" xfId="0" applyNumberFormat="1" applyFont="1" applyFill="1" applyBorder="1" applyAlignment="1" applyProtection="1">
      <alignment horizontal="center" vertical="center"/>
      <protection hidden="1"/>
    </xf>
    <xf numFmtId="0" fontId="14" fillId="0" borderId="24" xfId="0" applyFont="1" applyBorder="1" applyAlignment="1">
      <alignment horizontal="left" vertical="center"/>
    </xf>
    <xf numFmtId="41" fontId="15" fillId="20" borderId="10" xfId="0" applyNumberFormat="1" applyFont="1" applyFill="1" applyBorder="1" applyAlignment="1" applyProtection="1">
      <alignment horizontal="center"/>
      <protection hidden="1"/>
    </xf>
    <xf numFmtId="0" fontId="14" fillId="25" borderId="14" xfId="0" applyNumberFormat="1" applyFont="1" applyFill="1" applyBorder="1" applyAlignment="1" applyProtection="1">
      <alignment horizontal="center" vertical="center"/>
      <protection/>
    </xf>
    <xf numFmtId="41" fontId="14" fillId="20" borderId="22" xfId="0" applyNumberFormat="1" applyFont="1" applyFill="1" applyBorder="1" applyAlignment="1" applyProtection="1">
      <alignment horizontal="center" vertical="center"/>
      <protection hidden="1"/>
    </xf>
    <xf numFmtId="3" fontId="55" fillId="20" borderId="10" xfId="0" applyNumberFormat="1" applyFont="1" applyFill="1" applyBorder="1" applyAlignment="1" applyProtection="1">
      <alignment horizontal="center" vertical="center"/>
      <protection hidden="1"/>
    </xf>
    <xf numFmtId="4" fontId="54" fillId="20" borderId="10" xfId="0" applyNumberFormat="1" applyFont="1" applyFill="1" applyBorder="1" applyAlignment="1" applyProtection="1">
      <alignment horizontal="center" vertical="center"/>
      <protection/>
    </xf>
    <xf numFmtId="0" fontId="46" fillId="20" borderId="10" xfId="0" applyNumberFormat="1" applyFont="1" applyFill="1" applyBorder="1" applyAlignment="1" applyProtection="1">
      <alignment horizontal="center" vertical="center"/>
      <protection/>
    </xf>
    <xf numFmtId="49" fontId="46" fillId="20" borderId="10" xfId="0" applyNumberFormat="1" applyFont="1" applyFill="1" applyBorder="1" applyAlignment="1" applyProtection="1">
      <alignment horizontal="left" vertical="center"/>
      <protection/>
    </xf>
    <xf numFmtId="3" fontId="55" fillId="20" borderId="17" xfId="0" applyNumberFormat="1" applyFont="1" applyFill="1" applyBorder="1" applyAlignment="1" applyProtection="1">
      <alignment horizontal="center" vertical="center"/>
      <protection hidden="1"/>
    </xf>
    <xf numFmtId="0" fontId="46" fillId="20" borderId="13" xfId="0" applyNumberFormat="1" applyFont="1" applyFill="1" applyBorder="1" applyAlignment="1" applyProtection="1">
      <alignment horizontal="center" vertical="center"/>
      <protection/>
    </xf>
    <xf numFmtId="49" fontId="46" fillId="20" borderId="13" xfId="0" applyNumberFormat="1" applyFont="1" applyFill="1" applyBorder="1" applyAlignment="1" applyProtection="1">
      <alignment horizontal="left" vertical="center"/>
      <protection/>
    </xf>
    <xf numFmtId="3" fontId="55" fillId="20" borderId="13" xfId="0" applyNumberFormat="1" applyFont="1" applyFill="1" applyBorder="1" applyAlignment="1" applyProtection="1">
      <alignment horizontal="center" vertical="center"/>
      <protection hidden="1"/>
    </xf>
    <xf numFmtId="4" fontId="56" fillId="20" borderId="13" xfId="0" applyNumberFormat="1" applyFont="1" applyFill="1" applyBorder="1" applyAlignment="1">
      <alignment horizontal="center" vertical="center"/>
    </xf>
    <xf numFmtId="4" fontId="56" fillId="25" borderId="13" xfId="0" applyNumberFormat="1" applyFont="1" applyFill="1" applyBorder="1" applyAlignment="1">
      <alignment horizontal="center" vertical="center"/>
    </xf>
    <xf numFmtId="4" fontId="17" fillId="25" borderId="23" xfId="0" applyNumberFormat="1" applyFont="1" applyFill="1" applyBorder="1" applyAlignment="1" applyProtection="1">
      <alignment horizontal="center" vertical="center"/>
      <protection/>
    </xf>
    <xf numFmtId="0" fontId="17" fillId="0" borderId="25" xfId="0" applyFont="1" applyBorder="1" applyAlignment="1">
      <alignment horizontal="left" vertical="center"/>
    </xf>
    <xf numFmtId="3" fontId="55" fillId="20" borderId="14" xfId="0" applyNumberFormat="1" applyFont="1" applyFill="1" applyBorder="1" applyAlignment="1" applyProtection="1">
      <alignment horizontal="center" vertical="center"/>
      <protection hidden="1"/>
    </xf>
    <xf numFmtId="4" fontId="56" fillId="25" borderId="14" xfId="0" applyNumberFormat="1" applyFont="1" applyFill="1" applyBorder="1" applyAlignment="1">
      <alignment horizontal="center" vertical="center"/>
    </xf>
    <xf numFmtId="0" fontId="17" fillId="0" borderId="17" xfId="0" applyNumberFormat="1" applyFont="1" applyBorder="1" applyAlignment="1">
      <alignment vertical="center"/>
    </xf>
    <xf numFmtId="4" fontId="56" fillId="25" borderId="17" xfId="0" applyNumberFormat="1" applyFont="1" applyFill="1" applyBorder="1" applyAlignment="1">
      <alignment horizontal="center" vertical="center"/>
    </xf>
    <xf numFmtId="0" fontId="14" fillId="0" borderId="10" xfId="0" applyFont="1" applyBorder="1" applyAlignment="1">
      <alignment horizontal="left" vertical="center"/>
    </xf>
    <xf numFmtId="4" fontId="17" fillId="0" borderId="17"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9" xfId="0" applyFont="1" applyBorder="1" applyAlignment="1">
      <alignment horizontal="left" vertical="center"/>
    </xf>
    <xf numFmtId="0" fontId="94" fillId="0" borderId="0" xfId="0" applyNumberFormat="1" applyFont="1" applyAlignment="1">
      <alignment wrapText="1"/>
    </xf>
    <xf numFmtId="41" fontId="15" fillId="20" borderId="10" xfId="0" applyNumberFormat="1" applyFont="1" applyFill="1" applyBorder="1" applyAlignment="1" applyProtection="1">
      <alignment horizontal="center" vertical="center" wrapText="1"/>
      <protection hidden="1"/>
    </xf>
    <xf numFmtId="41" fontId="15" fillId="20" borderId="10" xfId="57" applyNumberFormat="1" applyFont="1" applyFill="1" applyBorder="1" applyAlignment="1" applyProtection="1">
      <alignment horizontal="center" vertical="center"/>
      <protection hidden="1"/>
    </xf>
    <xf numFmtId="37" fontId="15" fillId="20" borderId="13" xfId="57" applyNumberFormat="1" applyFont="1" applyFill="1" applyBorder="1" applyAlignment="1" applyProtection="1">
      <alignment horizontal="center" vertical="center"/>
      <protection hidden="1"/>
    </xf>
    <xf numFmtId="41" fontId="15" fillId="20" borderId="13" xfId="57" applyNumberFormat="1" applyFont="1" applyFill="1" applyBorder="1" applyAlignment="1" applyProtection="1">
      <alignment horizontal="center" vertical="center"/>
      <protection hidden="1"/>
    </xf>
    <xf numFmtId="0" fontId="15" fillId="20" borderId="10" xfId="57" applyFont="1" applyFill="1" applyBorder="1" applyAlignment="1">
      <alignment horizontal="left" vertical="center"/>
      <protection/>
    </xf>
    <xf numFmtId="41" fontId="22" fillId="20" borderId="10" xfId="57" applyNumberFormat="1" applyFont="1" applyFill="1" applyBorder="1" applyAlignment="1" applyProtection="1">
      <alignment horizontal="center"/>
      <protection hidden="1"/>
    </xf>
    <xf numFmtId="41" fontId="22" fillId="20" borderId="10" xfId="57" applyNumberFormat="1" applyFont="1" applyFill="1" applyBorder="1" applyAlignment="1" applyProtection="1">
      <alignment horizontal="center" vertical="center"/>
      <protection hidden="1"/>
    </xf>
    <xf numFmtId="41" fontId="16" fillId="20" borderId="10" xfId="57" applyNumberFormat="1" applyFont="1" applyFill="1" applyBorder="1" applyAlignment="1" applyProtection="1">
      <alignment horizontal="center" vertical="center"/>
      <protection hidden="1"/>
    </xf>
    <xf numFmtId="41" fontId="10" fillId="20" borderId="10" xfId="57" applyNumberFormat="1" applyFont="1" applyFill="1" applyBorder="1" applyAlignment="1" applyProtection="1">
      <alignment horizontal="center" vertical="center"/>
      <protection hidden="1"/>
    </xf>
    <xf numFmtId="0" fontId="15" fillId="20" borderId="13" xfId="57" applyFont="1" applyFill="1" applyBorder="1" applyAlignment="1">
      <alignment horizontal="center" vertical="center"/>
      <protection/>
    </xf>
    <xf numFmtId="41" fontId="14" fillId="25" borderId="10" xfId="57" applyNumberFormat="1" applyFont="1" applyFill="1" applyBorder="1" applyAlignment="1" applyProtection="1">
      <alignment horizontal="center" vertical="center"/>
      <protection hidden="1"/>
    </xf>
    <xf numFmtId="41" fontId="43" fillId="25" borderId="10" xfId="57" applyNumberFormat="1" applyFont="1" applyFill="1" applyBorder="1" applyAlignment="1" applyProtection="1">
      <alignment vertical="center"/>
      <protection hidden="1"/>
    </xf>
    <xf numFmtId="49" fontId="31" fillId="25" borderId="10" xfId="57" applyNumberFormat="1" applyFont="1" applyFill="1" applyBorder="1" applyAlignment="1">
      <alignment horizontal="center"/>
      <protection/>
    </xf>
    <xf numFmtId="2" fontId="12" fillId="0" borderId="10" xfId="0" applyNumberFormat="1" applyFont="1" applyBorder="1" applyAlignment="1">
      <alignment horizontal="left" vertical="center" wrapText="1"/>
    </xf>
    <xf numFmtId="41" fontId="0" fillId="0" borderId="10" xfId="0" applyNumberFormat="1" applyFont="1" applyBorder="1" applyAlignment="1">
      <alignment horizontal="center" vertical="center" wrapText="1"/>
    </xf>
    <xf numFmtId="41" fontId="0" fillId="0" borderId="10" xfId="0" applyNumberFormat="1" applyFont="1" applyBorder="1" applyAlignment="1">
      <alignment/>
    </xf>
    <xf numFmtId="41" fontId="12" fillId="0" borderId="10" xfId="0" applyNumberFormat="1" applyFont="1" applyBorder="1" applyAlignment="1">
      <alignment/>
    </xf>
    <xf numFmtId="41" fontId="0" fillId="0" borderId="13" xfId="0" applyNumberFormat="1" applyFont="1" applyBorder="1" applyAlignment="1">
      <alignment/>
    </xf>
    <xf numFmtId="41" fontId="12" fillId="0" borderId="13" xfId="0" applyNumberFormat="1" applyFont="1" applyBorder="1" applyAlignment="1">
      <alignment/>
    </xf>
    <xf numFmtId="41" fontId="0" fillId="0" borderId="14" xfId="0" applyNumberFormat="1" applyFont="1" applyBorder="1" applyAlignment="1">
      <alignment/>
    </xf>
    <xf numFmtId="41" fontId="12" fillId="0" borderId="14" xfId="0" applyNumberFormat="1" applyFont="1" applyBorder="1" applyAlignment="1">
      <alignment/>
    </xf>
    <xf numFmtId="41" fontId="14" fillId="0" borderId="10" xfId="0" applyNumberFormat="1" applyFont="1" applyBorder="1" applyAlignment="1">
      <alignment/>
    </xf>
    <xf numFmtId="41" fontId="14" fillId="0" borderId="13" xfId="0" applyNumberFormat="1" applyFont="1" applyBorder="1" applyAlignment="1">
      <alignment/>
    </xf>
    <xf numFmtId="41" fontId="14" fillId="0" borderId="14" xfId="0" applyNumberFormat="1" applyFont="1" applyBorder="1" applyAlignment="1">
      <alignment/>
    </xf>
    <xf numFmtId="41" fontId="14" fillId="0" borderId="10" xfId="0" applyNumberFormat="1" applyFont="1" applyBorder="1" applyAlignment="1">
      <alignment vertical="center"/>
    </xf>
    <xf numFmtId="41" fontId="14" fillId="0" borderId="13" xfId="0" applyNumberFormat="1" applyFont="1" applyBorder="1" applyAlignment="1">
      <alignment vertical="center"/>
    </xf>
    <xf numFmtId="41" fontId="14" fillId="0" borderId="14" xfId="0" applyNumberFormat="1" applyFont="1" applyBorder="1" applyAlignment="1">
      <alignment vertical="center"/>
    </xf>
    <xf numFmtId="41" fontId="14" fillId="25" borderId="10" xfId="0" applyNumberFormat="1" applyFont="1" applyFill="1" applyBorder="1" applyAlignment="1" applyProtection="1">
      <alignment horizontal="center" vertical="center"/>
      <protection hidden="1"/>
    </xf>
    <xf numFmtId="0" fontId="14" fillId="0" borderId="10" xfId="0" applyFont="1" applyFill="1" applyBorder="1" applyAlignment="1">
      <alignment horizontal="left" vertical="center"/>
    </xf>
    <xf numFmtId="41" fontId="14" fillId="25" borderId="14" xfId="0" applyNumberFormat="1" applyFont="1" applyFill="1" applyBorder="1" applyAlignment="1" applyProtection="1">
      <alignment horizontal="center" vertical="center"/>
      <protection hidden="1"/>
    </xf>
    <xf numFmtId="41" fontId="14" fillId="20" borderId="14" xfId="0" applyNumberFormat="1" applyFont="1" applyFill="1" applyBorder="1" applyAlignment="1" applyProtection="1">
      <alignment horizontal="center" vertical="center"/>
      <protection hidden="1"/>
    </xf>
    <xf numFmtId="0" fontId="14" fillId="0" borderId="23" xfId="0" applyFont="1" applyBorder="1" applyAlignment="1">
      <alignment horizontal="left" vertical="center"/>
    </xf>
    <xf numFmtId="41" fontId="14" fillId="25" borderId="23" xfId="0" applyNumberFormat="1" applyFont="1" applyFill="1" applyBorder="1" applyAlignment="1" applyProtection="1">
      <alignment horizontal="center" vertical="center"/>
      <protection hidden="1"/>
    </xf>
    <xf numFmtId="41" fontId="14" fillId="25" borderId="10" xfId="0" applyNumberFormat="1" applyFont="1" applyFill="1" applyBorder="1" applyAlignment="1" applyProtection="1">
      <alignment horizontal="center" vertical="center"/>
      <protection/>
    </xf>
    <xf numFmtId="41" fontId="14" fillId="25" borderId="10" xfId="60" applyNumberFormat="1" applyFont="1" applyFill="1" applyBorder="1" applyAlignment="1" applyProtection="1">
      <alignment horizontal="center" vertical="center"/>
      <protection/>
    </xf>
    <xf numFmtId="41" fontId="14" fillId="25" borderId="10" xfId="0" applyNumberFormat="1" applyFont="1" applyFill="1" applyBorder="1" applyAlignment="1">
      <alignment horizontal="center"/>
    </xf>
    <xf numFmtId="0" fontId="14" fillId="0" borderId="17" xfId="0" applyNumberFormat="1" applyFont="1" applyBorder="1" applyAlignment="1">
      <alignment vertical="center"/>
    </xf>
    <xf numFmtId="41" fontId="14" fillId="25" borderId="17" xfId="0" applyNumberFormat="1" applyFont="1" applyFill="1" applyBorder="1" applyAlignment="1" applyProtection="1">
      <alignment horizontal="center" vertical="center"/>
      <protection/>
    </xf>
    <xf numFmtId="41" fontId="14" fillId="25" borderId="17" xfId="60" applyNumberFormat="1" applyFont="1" applyFill="1" applyBorder="1" applyAlignment="1" applyProtection="1">
      <alignment horizontal="center" vertical="center"/>
      <protection/>
    </xf>
    <xf numFmtId="41" fontId="14" fillId="25" borderId="17" xfId="0" applyNumberFormat="1" applyFont="1" applyFill="1" applyBorder="1" applyAlignment="1">
      <alignment horizontal="center"/>
    </xf>
    <xf numFmtId="0" fontId="14" fillId="25" borderId="21" xfId="0" applyFont="1" applyFill="1" applyBorder="1" applyAlignment="1">
      <alignment horizontal="left" vertical="center"/>
    </xf>
    <xf numFmtId="0" fontId="14" fillId="25" borderId="19" xfId="0" applyFont="1" applyFill="1" applyBorder="1" applyAlignment="1">
      <alignment horizontal="left" vertical="center"/>
    </xf>
    <xf numFmtId="0" fontId="14" fillId="25" borderId="14" xfId="0" applyFont="1" applyFill="1" applyBorder="1" applyAlignment="1">
      <alignment horizontal="left" vertical="center"/>
    </xf>
    <xf numFmtId="0" fontId="14" fillId="25" borderId="10" xfId="0" applyFont="1" applyFill="1" applyBorder="1" applyAlignment="1">
      <alignment horizontal="left" vertical="center"/>
    </xf>
    <xf numFmtId="0" fontId="14" fillId="25" borderId="23" xfId="0" applyFont="1" applyFill="1" applyBorder="1" applyAlignment="1">
      <alignment horizontal="left" vertical="center"/>
    </xf>
    <xf numFmtId="41" fontId="14" fillId="25" borderId="17" xfId="0" applyNumberFormat="1" applyFont="1" applyFill="1" applyBorder="1" applyAlignment="1" applyProtection="1">
      <alignment horizontal="center" vertical="center"/>
      <protection hidden="1"/>
    </xf>
    <xf numFmtId="0" fontId="14" fillId="0" borderId="17" xfId="0" applyFont="1" applyBorder="1" applyAlignment="1">
      <alignment horizontal="left" vertical="center"/>
    </xf>
    <xf numFmtId="0" fontId="14" fillId="0" borderId="14" xfId="0" applyFont="1" applyBorder="1" applyAlignment="1">
      <alignment horizontal="left" vertical="center"/>
    </xf>
    <xf numFmtId="0" fontId="14" fillId="25" borderId="22" xfId="0" applyFont="1" applyFill="1" applyBorder="1" applyAlignment="1">
      <alignment horizontal="left" vertical="center"/>
    </xf>
    <xf numFmtId="0" fontId="14" fillId="25" borderId="17" xfId="0" applyFont="1" applyFill="1" applyBorder="1" applyAlignment="1">
      <alignment horizontal="left" vertical="center"/>
    </xf>
    <xf numFmtId="41" fontId="14" fillId="0" borderId="17" xfId="0" applyNumberFormat="1" applyFont="1" applyBorder="1" applyAlignment="1">
      <alignment/>
    </xf>
    <xf numFmtId="41" fontId="15" fillId="20" borderId="22" xfId="0" applyNumberFormat="1" applyFont="1" applyFill="1" applyBorder="1" applyAlignment="1" applyProtection="1">
      <alignment horizontal="center" vertical="center"/>
      <protection hidden="1"/>
    </xf>
    <xf numFmtId="41" fontId="14" fillId="25" borderId="22" xfId="0" applyNumberFormat="1" applyFont="1" applyFill="1" applyBorder="1" applyAlignment="1" applyProtection="1">
      <alignment horizontal="center" vertical="center"/>
      <protection hidden="1"/>
    </xf>
    <xf numFmtId="41" fontId="0" fillId="0" borderId="14" xfId="0" applyNumberFormat="1" applyFont="1" applyBorder="1" applyAlignment="1" applyProtection="1">
      <alignment vertical="center"/>
      <protection hidden="1"/>
    </xf>
    <xf numFmtId="41" fontId="0" fillId="0" borderId="10" xfId="0" applyNumberFormat="1" applyFont="1" applyBorder="1" applyAlignment="1">
      <alignment vertical="center"/>
    </xf>
    <xf numFmtId="41" fontId="0" fillId="0" borderId="13" xfId="0" applyNumberFormat="1" applyFont="1" applyBorder="1" applyAlignment="1">
      <alignment vertical="center"/>
    </xf>
    <xf numFmtId="41" fontId="0" fillId="0" borderId="14" xfId="0" applyNumberFormat="1" applyFont="1" applyBorder="1" applyAlignment="1">
      <alignment vertical="center"/>
    </xf>
    <xf numFmtId="0" fontId="17" fillId="0" borderId="10" xfId="0" applyFont="1" applyBorder="1" applyAlignment="1">
      <alignment horizontal="left" vertical="center"/>
    </xf>
    <xf numFmtId="3" fontId="96" fillId="20" borderId="10" xfId="0" applyNumberFormat="1" applyFont="1" applyFill="1" applyBorder="1" applyAlignment="1" applyProtection="1">
      <alignment horizontal="center" vertical="center"/>
      <protection hidden="1"/>
    </xf>
    <xf numFmtId="3" fontId="96" fillId="25" borderId="10" xfId="0" applyNumberFormat="1" applyFont="1" applyFill="1" applyBorder="1" applyAlignment="1" applyProtection="1">
      <alignment horizontal="center" vertical="center"/>
      <protection hidden="1"/>
    </xf>
    <xf numFmtId="4" fontId="54" fillId="25" borderId="10" xfId="0" applyNumberFormat="1" applyFont="1" applyFill="1" applyBorder="1" applyAlignment="1" applyProtection="1">
      <alignment horizontal="center" vertical="center"/>
      <protection/>
    </xf>
    <xf numFmtId="0" fontId="17" fillId="0" borderId="10" xfId="0" applyFont="1" applyFill="1" applyBorder="1" applyAlignment="1">
      <alignment horizontal="left" vertical="center"/>
    </xf>
    <xf numFmtId="3" fontId="96" fillId="25" borderId="14" xfId="0" applyNumberFormat="1" applyFont="1" applyFill="1" applyBorder="1" applyAlignment="1" applyProtection="1">
      <alignment horizontal="center" vertical="center"/>
      <protection hidden="1"/>
    </xf>
    <xf numFmtId="3" fontId="17" fillId="25" borderId="10" xfId="0" applyNumberFormat="1" applyFont="1" applyFill="1" applyBorder="1" applyAlignment="1" applyProtection="1">
      <alignment horizontal="center" vertical="center"/>
      <protection hidden="1"/>
    </xf>
    <xf numFmtId="0" fontId="17" fillId="0" borderId="10" xfId="0" applyNumberFormat="1" applyFont="1" applyFill="1" applyBorder="1" applyAlignment="1">
      <alignment horizontal="left" vertical="center"/>
    </xf>
    <xf numFmtId="0" fontId="17" fillId="0" borderId="23" xfId="0" applyNumberFormat="1" applyFont="1" applyFill="1" applyBorder="1" applyAlignment="1">
      <alignment horizontal="left" vertical="center"/>
    </xf>
    <xf numFmtId="3" fontId="96" fillId="20" borderId="23" xfId="0" applyNumberFormat="1" applyFont="1" applyFill="1" applyBorder="1" applyAlignment="1" applyProtection="1">
      <alignment horizontal="center" vertical="center"/>
      <protection hidden="1"/>
    </xf>
    <xf numFmtId="3" fontId="96" fillId="25" borderId="23" xfId="0" applyNumberFormat="1" applyFont="1" applyFill="1" applyBorder="1" applyAlignment="1" applyProtection="1">
      <alignment horizontal="center" vertical="center"/>
      <protection hidden="1"/>
    </xf>
    <xf numFmtId="4" fontId="54" fillId="25" borderId="17" xfId="0" applyNumberFormat="1" applyFont="1" applyFill="1" applyBorder="1" applyAlignment="1" applyProtection="1">
      <alignment horizontal="center" vertical="center"/>
      <protection/>
    </xf>
    <xf numFmtId="3" fontId="55" fillId="25" borderId="10" xfId="0" applyNumberFormat="1" applyFont="1" applyFill="1" applyBorder="1" applyAlignment="1" applyProtection="1">
      <alignment horizontal="center" vertical="center"/>
      <protection/>
    </xf>
    <xf numFmtId="3" fontId="55" fillId="25" borderId="10" xfId="60" applyNumberFormat="1" applyFont="1" applyFill="1" applyBorder="1" applyAlignment="1" applyProtection="1">
      <alignment horizontal="center" vertical="center"/>
      <protection/>
    </xf>
    <xf numFmtId="3" fontId="55" fillId="25" borderId="10" xfId="0" applyNumberFormat="1" applyFont="1" applyFill="1" applyBorder="1" applyAlignment="1">
      <alignment horizontal="center"/>
    </xf>
    <xf numFmtId="0" fontId="17" fillId="0" borderId="0" xfId="0" applyFont="1" applyAlignment="1">
      <alignment horizontal="left" vertical="center"/>
    </xf>
    <xf numFmtId="4" fontId="56" fillId="25" borderId="10" xfId="0" applyNumberFormat="1" applyFont="1" applyFill="1" applyBorder="1" applyAlignment="1">
      <alignment horizontal="center" vertical="center"/>
    </xf>
    <xf numFmtId="0" fontId="17" fillId="0" borderId="23" xfId="0" applyFont="1" applyBorder="1" applyAlignment="1">
      <alignment horizontal="left" vertical="center"/>
    </xf>
    <xf numFmtId="3" fontId="55" fillId="20" borderId="23" xfId="0" applyNumberFormat="1" applyFont="1" applyFill="1" applyBorder="1" applyAlignment="1" applyProtection="1">
      <alignment horizontal="center" vertical="center"/>
      <protection hidden="1"/>
    </xf>
    <xf numFmtId="3" fontId="55" fillId="25" borderId="17" xfId="0" applyNumberFormat="1" applyFont="1" applyFill="1" applyBorder="1" applyAlignment="1" applyProtection="1">
      <alignment horizontal="center" vertical="center"/>
      <protection/>
    </xf>
    <xf numFmtId="3" fontId="55" fillId="25" borderId="17" xfId="60" applyNumberFormat="1" applyFont="1" applyFill="1" applyBorder="1" applyAlignment="1" applyProtection="1">
      <alignment horizontal="center" vertical="center"/>
      <protection/>
    </xf>
    <xf numFmtId="3" fontId="55" fillId="25" borderId="17" xfId="0" applyNumberFormat="1" applyFont="1" applyFill="1" applyBorder="1" applyAlignment="1">
      <alignment horizontal="center"/>
    </xf>
    <xf numFmtId="4" fontId="56" fillId="25" borderId="23" xfId="0" applyNumberFormat="1" applyFont="1" applyFill="1" applyBorder="1" applyAlignment="1">
      <alignment horizontal="center" vertical="center"/>
    </xf>
    <xf numFmtId="0" fontId="17" fillId="0" borderId="13" xfId="0" applyFont="1" applyBorder="1" applyAlignment="1">
      <alignment horizontal="left" vertical="center"/>
    </xf>
    <xf numFmtId="0" fontId="17" fillId="0" borderId="17" xfId="0" applyFont="1" applyBorder="1" applyAlignment="1">
      <alignment horizontal="left" vertical="center"/>
    </xf>
    <xf numFmtId="4" fontId="97" fillId="25" borderId="17" xfId="0" applyNumberFormat="1" applyFont="1" applyFill="1" applyBorder="1" applyAlignment="1">
      <alignment horizontal="center" vertical="center"/>
    </xf>
    <xf numFmtId="4" fontId="98" fillId="25" borderId="13" xfId="0" applyNumberFormat="1" applyFont="1" applyFill="1" applyBorder="1" applyAlignment="1">
      <alignment horizontal="center" vertical="center"/>
    </xf>
    <xf numFmtId="3" fontId="96" fillId="20" borderId="17" xfId="0" applyNumberFormat="1" applyFont="1" applyFill="1" applyBorder="1" applyAlignment="1" applyProtection="1">
      <alignment horizontal="center" vertical="center"/>
      <protection hidden="1"/>
    </xf>
    <xf numFmtId="3" fontId="96" fillId="25" borderId="17" xfId="0" applyNumberFormat="1" applyFont="1" applyFill="1" applyBorder="1" applyAlignment="1" applyProtection="1">
      <alignment horizontal="center" vertical="center"/>
      <protection hidden="1"/>
    </xf>
    <xf numFmtId="4" fontId="98" fillId="25" borderId="17" xfId="0" applyNumberFormat="1" applyFont="1" applyFill="1" applyBorder="1" applyAlignment="1">
      <alignment horizontal="center" vertical="center"/>
    </xf>
    <xf numFmtId="3" fontId="17" fillId="0" borderId="10" xfId="0" applyNumberFormat="1" applyFont="1" applyBorder="1" applyAlignment="1">
      <alignment horizontal="left" vertical="center"/>
    </xf>
    <xf numFmtId="193" fontId="17" fillId="0" borderId="17" xfId="0" applyNumberFormat="1" applyFont="1" applyBorder="1" applyAlignment="1">
      <alignment horizontal="left" vertical="center"/>
    </xf>
    <xf numFmtId="193" fontId="55" fillId="25" borderId="17" xfId="0" applyNumberFormat="1" applyFont="1" applyFill="1" applyBorder="1" applyAlignment="1" applyProtection="1">
      <alignment horizontal="center" vertical="center"/>
      <protection/>
    </xf>
    <xf numFmtId="0" fontId="17" fillId="0" borderId="14" xfId="0" applyFont="1" applyBorder="1" applyAlignment="1">
      <alignment horizontal="left" vertical="center"/>
    </xf>
    <xf numFmtId="0" fontId="17" fillId="25" borderId="10" xfId="0" applyFont="1" applyFill="1" applyBorder="1" applyAlignment="1">
      <alignment horizontal="left" vertical="center"/>
    </xf>
    <xf numFmtId="0" fontId="17" fillId="25" borderId="22" xfId="0" applyFont="1" applyFill="1" applyBorder="1" applyAlignment="1">
      <alignment horizontal="left" vertical="center"/>
    </xf>
    <xf numFmtId="1" fontId="56" fillId="25" borderId="13" xfId="0" applyNumberFormat="1" applyFont="1" applyFill="1" applyBorder="1" applyAlignment="1">
      <alignment horizontal="center" vertical="center"/>
    </xf>
    <xf numFmtId="0" fontId="17" fillId="25" borderId="17" xfId="0" applyFont="1" applyFill="1" applyBorder="1" applyAlignment="1">
      <alignment horizontal="left" vertical="center"/>
    </xf>
    <xf numFmtId="4" fontId="99" fillId="25" borderId="13" xfId="0" applyNumberFormat="1" applyFont="1" applyFill="1" applyBorder="1" applyAlignment="1">
      <alignment horizontal="center" vertical="center"/>
    </xf>
    <xf numFmtId="4" fontId="99" fillId="25" borderId="10" xfId="0" applyNumberFormat="1" applyFont="1" applyFill="1" applyBorder="1" applyAlignment="1">
      <alignment horizontal="center" vertical="center"/>
    </xf>
    <xf numFmtId="0" fontId="17" fillId="25" borderId="17" xfId="0" applyNumberFormat="1" applyFont="1" applyFill="1" applyBorder="1" applyAlignment="1">
      <alignment vertical="center"/>
    </xf>
    <xf numFmtId="0" fontId="55" fillId="25" borderId="17" xfId="0" applyNumberFormat="1" applyFont="1" applyFill="1" applyBorder="1" applyAlignment="1">
      <alignment horizontal="center" vertical="center"/>
    </xf>
    <xf numFmtId="4" fontId="99" fillId="25" borderId="17" xfId="0" applyNumberFormat="1" applyFont="1" applyFill="1" applyBorder="1" applyAlignment="1">
      <alignment horizontal="center" vertical="center"/>
    </xf>
    <xf numFmtId="3" fontId="55" fillId="20" borderId="22" xfId="0" applyNumberFormat="1" applyFont="1" applyFill="1" applyBorder="1" applyAlignment="1" applyProtection="1">
      <alignment horizontal="center" vertical="center"/>
      <protection hidden="1"/>
    </xf>
    <xf numFmtId="3" fontId="55" fillId="25" borderId="22" xfId="0" applyNumberFormat="1" applyFont="1" applyFill="1" applyBorder="1" applyAlignment="1" applyProtection="1">
      <alignment horizontal="center" vertical="center"/>
      <protection hidden="1"/>
    </xf>
    <xf numFmtId="41" fontId="0" fillId="0" borderId="10" xfId="0" applyNumberFormat="1" applyBorder="1" applyAlignment="1">
      <alignment/>
    </xf>
    <xf numFmtId="186" fontId="0" fillId="0" borderId="10" xfId="42" applyNumberFormat="1" applyFont="1" applyBorder="1" applyAlignment="1">
      <alignment horizontal="center" vertical="center" wrapText="1"/>
    </xf>
    <xf numFmtId="2" fontId="12" fillId="0" borderId="17" xfId="0" applyNumberFormat="1" applyFont="1" applyBorder="1" applyAlignment="1">
      <alignment horizontal="left" vertical="center" wrapText="1"/>
    </xf>
    <xf numFmtId="41" fontId="0" fillId="0" borderId="17" xfId="0" applyNumberFormat="1" applyFont="1" applyBorder="1" applyAlignment="1">
      <alignment horizontal="center" vertical="center" wrapText="1"/>
    </xf>
    <xf numFmtId="0" fontId="0" fillId="25" borderId="10" xfId="0" applyFont="1" applyFill="1" applyBorder="1" applyAlignment="1">
      <alignment vertical="center"/>
    </xf>
    <xf numFmtId="41" fontId="0" fillId="25" borderId="10" xfId="0" applyNumberFormat="1" applyFont="1" applyFill="1" applyBorder="1" applyAlignment="1">
      <alignment vertical="center"/>
    </xf>
    <xf numFmtId="41" fontId="0" fillId="25" borderId="10" xfId="0" applyNumberFormat="1" applyFont="1" applyFill="1" applyBorder="1" applyAlignment="1">
      <alignment horizontal="center" vertical="center" wrapText="1"/>
    </xf>
    <xf numFmtId="41" fontId="0" fillId="25" borderId="10" xfId="0" applyNumberFormat="1" applyFont="1" applyFill="1" applyBorder="1" applyAlignment="1">
      <alignment horizontal="center" vertical="center"/>
    </xf>
    <xf numFmtId="3" fontId="0" fillId="25" borderId="10" xfId="0" applyNumberFormat="1" applyFont="1" applyFill="1" applyBorder="1" applyAlignment="1">
      <alignment/>
    </xf>
    <xf numFmtId="41" fontId="0" fillId="25" borderId="10" xfId="0" applyNumberFormat="1" applyFont="1" applyFill="1" applyBorder="1" applyAlignment="1">
      <alignment/>
    </xf>
    <xf numFmtId="41" fontId="0" fillId="25" borderId="10" xfId="42" applyNumberFormat="1" applyFont="1" applyFill="1" applyBorder="1" applyAlignment="1">
      <alignment horizontal="center" vertical="center" wrapText="1"/>
    </xf>
    <xf numFmtId="0" fontId="17" fillId="25" borderId="10" xfId="0" applyFont="1" applyFill="1" applyBorder="1" applyAlignment="1">
      <alignment wrapText="1"/>
    </xf>
    <xf numFmtId="0" fontId="0" fillId="25" borderId="10" xfId="0" applyFont="1" applyFill="1" applyBorder="1" applyAlignment="1">
      <alignment vertical="center"/>
    </xf>
    <xf numFmtId="41" fontId="0" fillId="25" borderId="10" xfId="0" applyNumberFormat="1" applyFont="1" applyFill="1" applyBorder="1" applyAlignment="1">
      <alignment/>
    </xf>
    <xf numFmtId="41" fontId="0" fillId="25" borderId="10" xfId="0" applyNumberFormat="1" applyFont="1" applyFill="1" applyBorder="1" applyAlignment="1">
      <alignment vertical="center"/>
    </xf>
    <xf numFmtId="0" fontId="0" fillId="25" borderId="10" xfId="0" applyFont="1" applyFill="1" applyBorder="1" applyAlignment="1">
      <alignment/>
    </xf>
    <xf numFmtId="0" fontId="0" fillId="25" borderId="17" xfId="0" applyFont="1" applyFill="1" applyBorder="1" applyAlignment="1">
      <alignment vertical="center"/>
    </xf>
    <xf numFmtId="41" fontId="0" fillId="25" borderId="17" xfId="0" applyNumberFormat="1" applyFont="1" applyFill="1" applyBorder="1" applyAlignment="1">
      <alignment vertical="center"/>
    </xf>
    <xf numFmtId="49" fontId="14" fillId="25" borderId="17" xfId="0" applyNumberFormat="1" applyFont="1" applyFill="1" applyBorder="1" applyAlignment="1">
      <alignment horizontal="left" vertical="center"/>
    </xf>
    <xf numFmtId="41" fontId="16" fillId="20" borderId="17" xfId="57" applyNumberFormat="1" applyFont="1" applyFill="1" applyBorder="1" applyAlignment="1" applyProtection="1">
      <alignment horizontal="center" vertical="center"/>
      <protection hidden="1"/>
    </xf>
    <xf numFmtId="41" fontId="0" fillId="0" borderId="17" xfId="57" applyNumberFormat="1" applyFont="1" applyBorder="1" applyAlignment="1" applyProtection="1">
      <alignment horizontal="center" vertical="center"/>
      <protection hidden="1"/>
    </xf>
    <xf numFmtId="41" fontId="0" fillId="0" borderId="17" xfId="57" applyNumberFormat="1" applyFont="1" applyBorder="1" applyAlignment="1" applyProtection="1">
      <alignment vertical="center"/>
      <protection hidden="1"/>
    </xf>
    <xf numFmtId="41" fontId="12" fillId="0" borderId="17" xfId="57" applyNumberFormat="1" applyFont="1" applyBorder="1" applyAlignment="1" applyProtection="1">
      <alignment vertical="center"/>
      <protection hidden="1"/>
    </xf>
    <xf numFmtId="41" fontId="0" fillId="0" borderId="17" xfId="57" applyNumberFormat="1" applyFont="1" applyBorder="1" applyAlignment="1" applyProtection="1">
      <alignment vertical="center"/>
      <protection hidden="1"/>
    </xf>
    <xf numFmtId="41" fontId="10" fillId="20" borderId="17" xfId="57" applyNumberFormat="1" applyFont="1" applyFill="1" applyBorder="1" applyAlignment="1" applyProtection="1">
      <alignment horizontal="center" vertical="center"/>
      <protection hidden="1"/>
    </xf>
    <xf numFmtId="41" fontId="0" fillId="25" borderId="17" xfId="57" applyNumberFormat="1" applyFont="1" applyFill="1" applyBorder="1" applyAlignment="1" applyProtection="1">
      <alignment vertical="center"/>
      <protection hidden="1"/>
    </xf>
    <xf numFmtId="41" fontId="15" fillId="20" borderId="17" xfId="57" applyNumberFormat="1" applyFont="1" applyFill="1" applyBorder="1" applyAlignment="1" applyProtection="1">
      <alignment horizontal="center" vertical="center"/>
      <protection hidden="1"/>
    </xf>
    <xf numFmtId="41" fontId="14" fillId="0" borderId="17" xfId="57" applyNumberFormat="1" applyFont="1" applyBorder="1" applyAlignment="1" applyProtection="1">
      <alignment vertical="center"/>
      <protection hidden="1"/>
    </xf>
    <xf numFmtId="41" fontId="14" fillId="0" borderId="17" xfId="57" applyNumberFormat="1" applyFont="1" applyBorder="1" applyAlignment="1" applyProtection="1">
      <alignment horizontal="center" vertical="center"/>
      <protection hidden="1"/>
    </xf>
    <xf numFmtId="41" fontId="43" fillId="0" borderId="17" xfId="57" applyNumberFormat="1" applyFont="1" applyBorder="1" applyAlignment="1" applyProtection="1">
      <alignment vertical="center"/>
      <protection hidden="1"/>
    </xf>
    <xf numFmtId="37" fontId="15" fillId="20" borderId="10" xfId="57" applyNumberFormat="1" applyFont="1" applyFill="1" applyBorder="1" applyAlignment="1" applyProtection="1">
      <alignment horizontal="center" vertical="center"/>
      <protection hidden="1"/>
    </xf>
    <xf numFmtId="41" fontId="14" fillId="0" borderId="11" xfId="57" applyNumberFormat="1" applyFont="1" applyBorder="1" applyAlignment="1" applyProtection="1">
      <alignment vertical="center"/>
      <protection hidden="1"/>
    </xf>
    <xf numFmtId="37" fontId="15" fillId="20" borderId="17" xfId="57" applyNumberFormat="1" applyFont="1" applyFill="1" applyBorder="1" applyAlignment="1" applyProtection="1">
      <alignment horizontal="center" vertical="center"/>
      <protection hidden="1"/>
    </xf>
    <xf numFmtId="41" fontId="14" fillId="0" borderId="26" xfId="57" applyNumberFormat="1" applyFont="1" applyBorder="1" applyAlignment="1" applyProtection="1">
      <alignment vertical="center"/>
      <protection hidden="1"/>
    </xf>
    <xf numFmtId="41" fontId="46" fillId="20" borderId="10" xfId="57" applyNumberFormat="1" applyFont="1" applyFill="1" applyBorder="1" applyAlignment="1" applyProtection="1">
      <alignment horizontal="center" vertical="center"/>
      <protection hidden="1"/>
    </xf>
    <xf numFmtId="41" fontId="14" fillId="25" borderId="19" xfId="57" applyNumberFormat="1" applyFont="1" applyFill="1" applyBorder="1" applyAlignment="1" applyProtection="1">
      <alignment horizontal="center" vertical="center"/>
      <protection hidden="1"/>
    </xf>
    <xf numFmtId="41" fontId="14" fillId="20" borderId="17" xfId="57" applyNumberFormat="1" applyFont="1" applyFill="1" applyBorder="1" applyAlignment="1" applyProtection="1">
      <alignment horizontal="center"/>
      <protection hidden="1"/>
    </xf>
    <xf numFmtId="41" fontId="14" fillId="25" borderId="27" xfId="57" applyNumberFormat="1" applyFont="1" applyFill="1" applyBorder="1" applyAlignment="1" applyProtection="1">
      <alignment horizontal="center" vertical="center"/>
      <protection hidden="1"/>
    </xf>
    <xf numFmtId="41" fontId="17" fillId="25" borderId="17" xfId="57" applyNumberFormat="1" applyFont="1" applyFill="1" applyBorder="1" applyAlignment="1" applyProtection="1">
      <alignment horizontal="center" vertical="center"/>
      <protection hidden="1"/>
    </xf>
    <xf numFmtId="41" fontId="17" fillId="20" borderId="17" xfId="57" applyNumberFormat="1" applyFont="1" applyFill="1" applyBorder="1" applyAlignment="1" applyProtection="1">
      <alignment horizontal="center" vertical="center"/>
      <protection hidden="1"/>
    </xf>
    <xf numFmtId="41" fontId="14" fillId="0" borderId="17" xfId="57" applyNumberFormat="1" applyFont="1" applyBorder="1" applyAlignment="1" applyProtection="1">
      <alignment horizontal="center"/>
      <protection hidden="1"/>
    </xf>
    <xf numFmtId="41" fontId="43" fillId="0" borderId="17" xfId="57" applyNumberFormat="1" applyFont="1" applyBorder="1" applyAlignment="1" applyProtection="1">
      <alignment horizontal="center"/>
      <protection hidden="1"/>
    </xf>
    <xf numFmtId="41" fontId="14" fillId="25" borderId="19" xfId="57" applyNumberFormat="1" applyFont="1" applyFill="1" applyBorder="1" applyAlignment="1" applyProtection="1">
      <alignment horizontal="left" vertical="center"/>
      <protection hidden="1"/>
    </xf>
    <xf numFmtId="41" fontId="14" fillId="20" borderId="17" xfId="57" applyNumberFormat="1" applyFont="1" applyFill="1" applyBorder="1" applyAlignment="1" applyProtection="1">
      <alignment horizontal="center" vertical="center" wrapText="1"/>
      <protection hidden="1"/>
    </xf>
    <xf numFmtId="41" fontId="14" fillId="25" borderId="27" xfId="57" applyNumberFormat="1" applyFont="1" applyFill="1" applyBorder="1" applyAlignment="1" applyProtection="1">
      <alignment horizontal="left" vertical="center"/>
      <protection hidden="1"/>
    </xf>
    <xf numFmtId="41" fontId="14" fillId="20" borderId="17" xfId="57" applyNumberFormat="1" applyFont="1" applyFill="1" applyBorder="1" applyAlignment="1" applyProtection="1">
      <alignment horizontal="center" vertical="center"/>
      <protection hidden="1"/>
    </xf>
    <xf numFmtId="41" fontId="14" fillId="25" borderId="17" xfId="57" applyNumberFormat="1" applyFont="1" applyFill="1" applyBorder="1" applyAlignment="1" applyProtection="1">
      <alignment vertical="center"/>
      <protection hidden="1"/>
    </xf>
    <xf numFmtId="41" fontId="14" fillId="20" borderId="23" xfId="57" applyNumberFormat="1" applyFont="1" applyFill="1" applyBorder="1" applyAlignment="1" applyProtection="1">
      <alignment horizontal="center" vertical="center"/>
      <protection hidden="1"/>
    </xf>
    <xf numFmtId="41" fontId="15" fillId="20" borderId="17" xfId="0" applyNumberFormat="1" applyFont="1" applyFill="1" applyBorder="1" applyAlignment="1" applyProtection="1">
      <alignment horizontal="center"/>
      <protection hidden="1"/>
    </xf>
    <xf numFmtId="41" fontId="14" fillId="0" borderId="17" xfId="0" applyNumberFormat="1" applyFont="1" applyFill="1" applyBorder="1" applyAlignment="1" applyProtection="1">
      <alignment horizontal="center"/>
      <protection hidden="1"/>
    </xf>
    <xf numFmtId="41" fontId="14" fillId="20" borderId="10" xfId="0" applyNumberFormat="1" applyFont="1" applyFill="1" applyBorder="1" applyAlignment="1" applyProtection="1">
      <alignment horizontal="center" vertical="center" wrapText="1"/>
      <protection hidden="1"/>
    </xf>
    <xf numFmtId="41" fontId="14" fillId="0" borderId="17" xfId="0" applyNumberFormat="1" applyFont="1" applyFill="1" applyBorder="1" applyAlignment="1" applyProtection="1">
      <alignment horizontal="center" vertical="center" wrapText="1"/>
      <protection hidden="1"/>
    </xf>
    <xf numFmtId="41" fontId="15" fillId="20" borderId="17" xfId="0" applyNumberFormat="1" applyFont="1" applyFill="1" applyBorder="1" applyAlignment="1" applyProtection="1">
      <alignment horizontal="center" vertical="center" wrapText="1"/>
      <protection hidden="1"/>
    </xf>
    <xf numFmtId="41" fontId="14" fillId="0" borderId="17" xfId="0" applyNumberFormat="1" applyFont="1" applyFill="1" applyBorder="1" applyAlignment="1" applyProtection="1">
      <alignment/>
      <protection hidden="1"/>
    </xf>
    <xf numFmtId="41" fontId="15" fillId="26" borderId="17" xfId="0" applyNumberFormat="1" applyFont="1" applyFill="1" applyBorder="1" applyAlignment="1" applyProtection="1">
      <alignment horizontal="center" vertical="center"/>
      <protection hidden="1"/>
    </xf>
    <xf numFmtId="41" fontId="15" fillId="8" borderId="17" xfId="0" applyNumberFormat="1" applyFont="1" applyFill="1" applyBorder="1" applyAlignment="1" applyProtection="1">
      <alignment horizontal="center" vertical="center"/>
      <protection hidden="1"/>
    </xf>
    <xf numFmtId="41" fontId="14" fillId="0" borderId="17" xfId="42" applyNumberFormat="1" applyFont="1" applyBorder="1" applyAlignment="1" applyProtection="1">
      <alignment horizontal="center" vertical="center"/>
      <protection hidden="1"/>
    </xf>
    <xf numFmtId="0" fontId="55" fillId="0" borderId="17" xfId="0" applyNumberFormat="1" applyFont="1" applyBorder="1" applyAlignment="1">
      <alignment horizontal="center" vertical="center"/>
    </xf>
    <xf numFmtId="0" fontId="55" fillId="0" borderId="17" xfId="0" applyNumberFormat="1" applyFont="1" applyBorder="1" applyAlignment="1">
      <alignment horizontal="center" vertical="center" wrapText="1"/>
    </xf>
    <xf numFmtId="0" fontId="12" fillId="0" borderId="0" xfId="0" applyNumberFormat="1" applyFont="1" applyAlignment="1">
      <alignment/>
    </xf>
    <xf numFmtId="0" fontId="11" fillId="0" borderId="0" xfId="0" applyNumberFormat="1" applyFont="1" applyAlignment="1">
      <alignment/>
    </xf>
    <xf numFmtId="49" fontId="15" fillId="0" borderId="10" xfId="57" applyNumberFormat="1" applyFont="1" applyBorder="1" applyAlignment="1">
      <alignment horizontal="center" vertical="center"/>
      <protection/>
    </xf>
    <xf numFmtId="49" fontId="15" fillId="25" borderId="10" xfId="57" applyNumberFormat="1" applyFont="1" applyFill="1" applyBorder="1" applyAlignment="1">
      <alignment horizontal="left" vertical="center"/>
      <protection/>
    </xf>
    <xf numFmtId="49" fontId="15" fillId="20" borderId="13" xfId="57" applyNumberFormat="1" applyFont="1" applyFill="1" applyBorder="1" applyAlignment="1">
      <alignment horizontal="center" vertical="center"/>
      <protection/>
    </xf>
    <xf numFmtId="49" fontId="15" fillId="20" borderId="10" xfId="57" applyNumberFormat="1" applyFont="1" applyFill="1" applyBorder="1" applyAlignment="1">
      <alignment horizontal="left" vertical="center"/>
      <protection/>
    </xf>
    <xf numFmtId="41" fontId="15" fillId="20" borderId="10" xfId="57" applyNumberFormat="1" applyFont="1" applyFill="1" applyBorder="1" applyAlignment="1" applyProtection="1">
      <alignment horizontal="right" vertical="center"/>
      <protection hidden="1"/>
    </xf>
    <xf numFmtId="41" fontId="32" fillId="24" borderId="0" xfId="0" applyNumberFormat="1" applyFont="1" applyFill="1" applyAlignment="1">
      <alignment/>
    </xf>
    <xf numFmtId="49" fontId="14" fillId="0" borderId="19" xfId="57" applyNumberFormat="1" applyFont="1" applyFill="1" applyBorder="1" applyAlignment="1">
      <alignment horizontal="center" vertical="center" wrapText="1"/>
      <protection/>
    </xf>
    <xf numFmtId="49" fontId="14" fillId="0" borderId="28" xfId="57" applyNumberFormat="1" applyFont="1" applyFill="1" applyBorder="1" applyAlignment="1">
      <alignment horizontal="center" vertical="center" wrapText="1"/>
      <protection/>
    </xf>
    <xf numFmtId="49" fontId="14" fillId="0" borderId="14" xfId="57" applyNumberFormat="1" applyFont="1" applyFill="1" applyBorder="1" applyAlignment="1">
      <alignment horizontal="center" vertical="center" wrapText="1"/>
      <protection/>
    </xf>
    <xf numFmtId="49" fontId="14" fillId="0" borderId="22" xfId="57" applyNumberFormat="1" applyFont="1" applyFill="1" applyBorder="1" applyAlignment="1">
      <alignment horizontal="center" vertical="center" wrapText="1"/>
      <protection/>
    </xf>
    <xf numFmtId="41" fontId="32" fillId="0" borderId="10" xfId="0" applyNumberFormat="1" applyFont="1" applyBorder="1" applyAlignment="1">
      <alignment/>
    </xf>
    <xf numFmtId="0" fontId="33" fillId="0" borderId="19" xfId="57" applyFont="1" applyBorder="1" applyAlignment="1">
      <alignment horizontal="center" wrapText="1"/>
      <protection/>
    </xf>
    <xf numFmtId="0" fontId="15" fillId="20" borderId="11" xfId="57" applyFont="1" applyFill="1" applyBorder="1" applyAlignment="1">
      <alignment horizontal="center" wrapText="1"/>
      <protection/>
    </xf>
    <xf numFmtId="0" fontId="15" fillId="20" borderId="19" xfId="57" applyFont="1" applyFill="1" applyBorder="1" applyAlignment="1">
      <alignment horizontal="center" wrapText="1"/>
      <protection/>
    </xf>
    <xf numFmtId="0" fontId="12" fillId="0" borderId="10" xfId="57" applyFont="1" applyFill="1" applyBorder="1" applyAlignment="1">
      <alignment horizontal="center" vertical="center"/>
      <protection/>
    </xf>
    <xf numFmtId="49" fontId="36" fillId="0" borderId="0" xfId="57" applyNumberFormat="1" applyFont="1" applyBorder="1" applyAlignment="1">
      <alignment horizontal="center"/>
      <protection/>
    </xf>
    <xf numFmtId="49" fontId="24" fillId="0" borderId="0" xfId="57" applyNumberFormat="1" applyFont="1" applyBorder="1" applyAlignment="1">
      <alignment horizontal="center"/>
      <protection/>
    </xf>
    <xf numFmtId="49" fontId="14" fillId="0" borderId="11" xfId="57" applyNumberFormat="1" applyFont="1" applyFill="1" applyBorder="1" applyAlignment="1">
      <alignment horizontal="center" vertical="center" wrapText="1"/>
      <protection/>
    </xf>
    <xf numFmtId="0" fontId="12" fillId="0" borderId="19" xfId="57" applyFont="1" applyFill="1" applyBorder="1" applyAlignment="1">
      <alignment horizontal="center" vertical="center" wrapText="1"/>
      <protection/>
    </xf>
    <xf numFmtId="0" fontId="14" fillId="0" borderId="0" xfId="57" applyFont="1" applyBorder="1" applyAlignment="1">
      <alignment horizontal="left"/>
      <protection/>
    </xf>
    <xf numFmtId="0" fontId="33" fillId="0" borderId="11" xfId="57" applyFont="1" applyBorder="1" applyAlignment="1">
      <alignment horizontal="center" wrapText="1"/>
      <protection/>
    </xf>
    <xf numFmtId="0" fontId="24" fillId="0" borderId="0" xfId="57" applyFont="1" applyAlignment="1">
      <alignment horizontal="center" wrapText="1"/>
      <protection/>
    </xf>
    <xf numFmtId="0" fontId="12" fillId="0" borderId="10" xfId="57" applyFont="1" applyFill="1" applyBorder="1" applyAlignment="1">
      <alignment horizontal="center" vertical="center" wrapText="1"/>
      <protection/>
    </xf>
    <xf numFmtId="0" fontId="12" fillId="0" borderId="11" xfId="57" applyFont="1" applyFill="1" applyBorder="1" applyAlignment="1">
      <alignment horizontal="center" vertical="center" wrapText="1"/>
      <protection/>
    </xf>
    <xf numFmtId="49" fontId="10" fillId="0" borderId="0" xfId="57" applyNumberFormat="1" applyFont="1" applyAlignment="1">
      <alignment horizontal="left"/>
      <protection/>
    </xf>
    <xf numFmtId="0" fontId="14" fillId="0" borderId="0" xfId="57" applyFont="1" applyAlignment="1">
      <alignment horizontal="left"/>
      <protection/>
    </xf>
    <xf numFmtId="0" fontId="14" fillId="0" borderId="0" xfId="57" applyNumberFormat="1" applyFont="1" applyAlignment="1">
      <alignment horizontal="left"/>
      <protection/>
    </xf>
    <xf numFmtId="0" fontId="24" fillId="0" borderId="0" xfId="57" applyFont="1" applyAlignment="1">
      <alignment horizontal="center"/>
      <protection/>
    </xf>
    <xf numFmtId="0" fontId="36" fillId="0" borderId="0" xfId="57" applyNumberFormat="1" applyFont="1" applyBorder="1" applyAlignment="1">
      <alignment horizontal="center"/>
      <protection/>
    </xf>
    <xf numFmtId="0" fontId="28" fillId="0" borderId="19" xfId="57" applyNumberFormat="1" applyFont="1" applyBorder="1" applyAlignment="1">
      <alignment horizontal="center" vertical="center" wrapText="1"/>
      <protection/>
    </xf>
    <xf numFmtId="0" fontId="16" fillId="20" borderId="11" xfId="57" applyNumberFormat="1" applyFont="1" applyFill="1" applyBorder="1" applyAlignment="1">
      <alignment horizontal="center" wrapText="1"/>
      <protection/>
    </xf>
    <xf numFmtId="0" fontId="16" fillId="20" borderId="19" xfId="57" applyNumberFormat="1" applyFont="1" applyFill="1" applyBorder="1" applyAlignment="1">
      <alignment horizontal="center" wrapText="1"/>
      <protection/>
    </xf>
    <xf numFmtId="0" fontId="36" fillId="0" borderId="0" xfId="57" applyFont="1" applyBorder="1" applyAlignment="1">
      <alignment horizontal="center" wrapText="1"/>
      <protection/>
    </xf>
    <xf numFmtId="0" fontId="24" fillId="0" borderId="0" xfId="57" applyNumberFormat="1" applyFont="1" applyBorder="1" applyAlignment="1">
      <alignment horizontal="center"/>
      <protection/>
    </xf>
    <xf numFmtId="0" fontId="12" fillId="0" borderId="29" xfId="57" applyNumberFormat="1" applyFont="1" applyFill="1" applyBorder="1" applyAlignment="1">
      <alignment horizontal="center" vertical="center" wrapText="1"/>
      <protection/>
    </xf>
    <xf numFmtId="0" fontId="12" fillId="0" borderId="21" xfId="57" applyNumberFormat="1" applyFont="1" applyFill="1" applyBorder="1" applyAlignment="1">
      <alignment horizontal="center" vertical="center" wrapText="1"/>
      <protection/>
    </xf>
    <xf numFmtId="0" fontId="12" fillId="0" borderId="16"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12" fillId="0" borderId="22"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3" xfId="57" applyFont="1" applyBorder="1" applyAlignment="1">
      <alignment horizontal="center" vertical="center"/>
      <protection/>
    </xf>
    <xf numFmtId="0" fontId="28" fillId="0" borderId="11" xfId="57" applyNumberFormat="1" applyFont="1" applyBorder="1" applyAlignment="1">
      <alignment horizontal="center" vertical="center" wrapText="1"/>
      <protection/>
    </xf>
    <xf numFmtId="0" fontId="12" fillId="0" borderId="10" xfId="57" applyNumberFormat="1" applyFont="1" applyFill="1" applyBorder="1" applyAlignment="1">
      <alignment horizontal="center" vertical="center" wrapText="1"/>
      <protection/>
    </xf>
    <xf numFmtId="0" fontId="12" fillId="0" borderId="11" xfId="57" applyNumberFormat="1" applyFont="1" applyFill="1" applyBorder="1" applyAlignment="1">
      <alignment horizontal="center" vertical="center" wrapText="1"/>
      <protection/>
    </xf>
    <xf numFmtId="0" fontId="12" fillId="0" borderId="28" xfId="57" applyNumberFormat="1" applyFont="1" applyFill="1" applyBorder="1" applyAlignment="1">
      <alignment horizontal="center" vertical="center" wrapText="1"/>
      <protection/>
    </xf>
    <xf numFmtId="49" fontId="12" fillId="0" borderId="21" xfId="57" applyNumberFormat="1" applyFont="1" applyFill="1" applyBorder="1" applyAlignment="1">
      <alignment horizontal="center" vertical="center"/>
      <protection/>
    </xf>
    <xf numFmtId="0" fontId="12" fillId="0" borderId="19" xfId="57" applyNumberFormat="1" applyFont="1" applyFill="1" applyBorder="1" applyAlignment="1">
      <alignment horizontal="center" vertical="center" wrapText="1"/>
      <protection/>
    </xf>
    <xf numFmtId="49" fontId="12" fillId="0" borderId="18" xfId="57" applyNumberFormat="1" applyFont="1" applyFill="1" applyBorder="1" applyAlignment="1">
      <alignment horizontal="center" vertical="center"/>
      <protection/>
    </xf>
    <xf numFmtId="49" fontId="12" fillId="0" borderId="25" xfId="57" applyNumberFormat="1" applyFont="1" applyFill="1" applyBorder="1" applyAlignment="1">
      <alignment horizontal="center" vertical="center"/>
      <protection/>
    </xf>
    <xf numFmtId="49" fontId="12" fillId="0" borderId="30" xfId="57" applyNumberFormat="1" applyFont="1" applyFill="1" applyBorder="1" applyAlignment="1">
      <alignment horizontal="center" vertical="center"/>
      <protection/>
    </xf>
    <xf numFmtId="49" fontId="12" fillId="0" borderId="29"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0" fontId="0" fillId="0" borderId="0" xfId="57" applyNumberFormat="1" applyFont="1" applyAlignment="1">
      <alignment horizontal="left"/>
      <protection/>
    </xf>
    <xf numFmtId="0" fontId="12" fillId="0" borderId="0" xfId="57" applyFont="1" applyBorder="1" applyAlignment="1">
      <alignment horizontal="left"/>
      <protection/>
    </xf>
    <xf numFmtId="0" fontId="10" fillId="0" borderId="0" xfId="57" applyNumberFormat="1" applyFont="1" applyAlignment="1">
      <alignment horizontal="center" wrapText="1"/>
      <protection/>
    </xf>
    <xf numFmtId="0" fontId="12" fillId="0" borderId="12" xfId="57" applyNumberFormat="1" applyFont="1" applyFill="1" applyBorder="1" applyAlignment="1">
      <alignment horizontal="left" wrapText="1"/>
      <protection/>
    </xf>
    <xf numFmtId="2" fontId="58" fillId="22" borderId="10" xfId="0" applyNumberFormat="1" applyFont="1" applyFill="1" applyBorder="1" applyAlignment="1">
      <alignment horizontal="center" vertical="center" wrapText="1"/>
    </xf>
    <xf numFmtId="0" fontId="12" fillId="0" borderId="0" xfId="57" applyNumberFormat="1" applyFont="1" applyAlignment="1">
      <alignment horizontal="left"/>
      <protection/>
    </xf>
    <xf numFmtId="0" fontId="24" fillId="0" borderId="0" xfId="57" applyNumberFormat="1" applyFont="1" applyAlignment="1">
      <alignment horizontal="center"/>
      <protection/>
    </xf>
    <xf numFmtId="0" fontId="0" fillId="0" borderId="0" xfId="57" applyNumberFormat="1" applyFont="1" applyAlignment="1">
      <alignment horizontal="left"/>
      <protection/>
    </xf>
    <xf numFmtId="49" fontId="16" fillId="0" borderId="0" xfId="57" applyNumberFormat="1" applyFont="1" applyAlignment="1">
      <alignment horizontal="left"/>
      <protection/>
    </xf>
    <xf numFmtId="0" fontId="0" fillId="0" borderId="0" xfId="57" applyNumberFormat="1" applyFont="1" applyAlignment="1">
      <alignment horizontal="left"/>
      <protection/>
    </xf>
    <xf numFmtId="0" fontId="10" fillId="0" borderId="0" xfId="57" applyFont="1" applyAlignment="1">
      <alignment horizontal="center"/>
      <protection/>
    </xf>
    <xf numFmtId="0" fontId="0" fillId="0" borderId="0" xfId="0" applyFont="1" applyBorder="1" applyAlignment="1">
      <alignment horizontal="center" vertical="top" wrapText="1"/>
    </xf>
    <xf numFmtId="0" fontId="74" fillId="0" borderId="0" xfId="0" applyFont="1" applyAlignment="1">
      <alignment horizontal="center"/>
    </xf>
    <xf numFmtId="0" fontId="0" fillId="0" borderId="0" xfId="0" applyFont="1" applyAlignment="1">
      <alignment horizontal="center"/>
    </xf>
    <xf numFmtId="0" fontId="10" fillId="0" borderId="0" xfId="0" applyFont="1" applyAlignment="1">
      <alignment horizontal="center"/>
    </xf>
    <xf numFmtId="0" fontId="73" fillId="0" borderId="0" xfId="0" applyFont="1" applyBorder="1" applyAlignment="1">
      <alignment horizontal="center" wrapText="1"/>
    </xf>
    <xf numFmtId="2" fontId="67" fillId="0" borderId="20" xfId="0" applyNumberFormat="1" applyFont="1" applyBorder="1" applyAlignment="1">
      <alignment horizontal="center" vertical="center" wrapText="1"/>
    </xf>
    <xf numFmtId="0" fontId="10" fillId="0" borderId="0" xfId="0" applyFont="1" applyAlignment="1">
      <alignment horizontal="center" vertical="top"/>
    </xf>
    <xf numFmtId="0" fontId="95" fillId="0" borderId="12" xfId="0" applyFont="1" applyBorder="1" applyAlignment="1">
      <alignment horizontal="right"/>
    </xf>
    <xf numFmtId="0" fontId="62" fillId="0" borderId="10" xfId="0" applyFont="1" applyBorder="1" applyAlignment="1">
      <alignment horizontal="center" vertical="center"/>
    </xf>
    <xf numFmtId="0" fontId="62" fillId="0" borderId="10" xfId="0" applyFont="1" applyBorder="1" applyAlignment="1">
      <alignment horizontal="center" vertical="center" wrapText="1"/>
    </xf>
    <xf numFmtId="0" fontId="62" fillId="20" borderId="10" xfId="0" applyFont="1" applyFill="1" applyBorder="1" applyAlignment="1">
      <alignment horizontal="center" vertical="center" wrapText="1"/>
    </xf>
    <xf numFmtId="2" fontId="68" fillId="0" borderId="0" xfId="0" applyNumberFormat="1" applyFont="1" applyAlignment="1">
      <alignment horizontal="center" vertical="center" wrapText="1"/>
    </xf>
    <xf numFmtId="2" fontId="58" fillId="0" borderId="0" xfId="0" applyNumberFormat="1" applyFont="1" applyAlignment="1">
      <alignment horizontal="left" vertical="center" wrapText="1"/>
    </xf>
    <xf numFmtId="2" fontId="60" fillId="0" borderId="0" xfId="0" applyNumberFormat="1" applyFont="1" applyAlignment="1">
      <alignment horizontal="justify" vertical="center" wrapText="1"/>
    </xf>
    <xf numFmtId="2" fontId="61" fillId="0" borderId="0" xfId="0" applyNumberFormat="1" applyFont="1" applyAlignment="1">
      <alignment horizontal="center" vertical="center" wrapText="1"/>
    </xf>
    <xf numFmtId="2" fontId="63" fillId="0" borderId="14" xfId="0" applyNumberFormat="1" applyFont="1" applyBorder="1" applyAlignment="1">
      <alignment horizontal="center" vertical="center" wrapText="1"/>
    </xf>
    <xf numFmtId="2" fontId="63" fillId="0" borderId="22" xfId="0" applyNumberFormat="1" applyFont="1" applyBorder="1" applyAlignment="1">
      <alignment horizontal="center" vertical="center" wrapText="1"/>
    </xf>
    <xf numFmtId="2" fontId="63" fillId="0" borderId="13" xfId="0" applyNumberFormat="1" applyFont="1" applyBorder="1" applyAlignment="1">
      <alignment horizontal="center" vertical="center" wrapText="1"/>
    </xf>
    <xf numFmtId="2" fontId="63" fillId="0" borderId="14" xfId="0" applyNumberFormat="1" applyFont="1" applyBorder="1" applyAlignment="1">
      <alignment horizontal="left" vertical="center" wrapText="1"/>
    </xf>
    <xf numFmtId="2" fontId="63" fillId="0" borderId="22" xfId="0" applyNumberFormat="1" applyFont="1" applyBorder="1" applyAlignment="1">
      <alignment horizontal="left" vertical="center" wrapText="1"/>
    </xf>
    <xf numFmtId="2" fontId="63" fillId="0" borderId="13" xfId="0" applyNumberFormat="1" applyFont="1" applyBorder="1" applyAlignment="1">
      <alignment horizontal="left" vertical="center" wrapText="1"/>
    </xf>
    <xf numFmtId="2" fontId="63" fillId="0" borderId="10" xfId="0" applyNumberFormat="1" applyFont="1" applyBorder="1" applyAlignment="1">
      <alignment horizontal="center" vertical="center" wrapText="1"/>
    </xf>
    <xf numFmtId="3" fontId="62" fillId="20" borderId="10" xfId="0" applyNumberFormat="1" applyFont="1" applyFill="1" applyBorder="1" applyAlignment="1">
      <alignment horizontal="center" vertical="center" wrapText="1"/>
    </xf>
    <xf numFmtId="2" fontId="67" fillId="0" borderId="0" xfId="0" applyNumberFormat="1" applyFont="1" applyAlignment="1">
      <alignment horizontal="center" vertical="center" wrapText="1"/>
    </xf>
    <xf numFmtId="2" fontId="70" fillId="0" borderId="0" xfId="0" applyNumberFormat="1" applyFont="1" applyAlignment="1">
      <alignment horizontal="justify" vertical="center" wrapText="1"/>
    </xf>
    <xf numFmtId="2" fontId="60" fillId="0" borderId="0" xfId="0" applyNumberFormat="1" applyFont="1" applyAlignment="1">
      <alignment horizontal="left" vertical="center" wrapText="1"/>
    </xf>
    <xf numFmtId="2" fontId="70" fillId="0" borderId="0" xfId="0" applyNumberFormat="1" applyFont="1" applyAlignment="1">
      <alignment horizontal="left" vertical="center" wrapText="1"/>
    </xf>
    <xf numFmtId="49" fontId="14" fillId="0" borderId="13" xfId="57" applyNumberFormat="1" applyFont="1" applyFill="1" applyBorder="1" applyAlignment="1">
      <alignment horizontal="center" vertical="center" wrapText="1"/>
      <protection/>
    </xf>
    <xf numFmtId="49" fontId="14" fillId="0" borderId="10" xfId="57" applyNumberFormat="1" applyFont="1" applyFill="1" applyBorder="1" applyAlignment="1">
      <alignment horizontal="center" vertical="center" wrapText="1"/>
      <protection/>
    </xf>
    <xf numFmtId="49" fontId="14" fillId="0" borderId="16" xfId="57" applyNumberFormat="1" applyFont="1" applyFill="1" applyBorder="1" applyAlignment="1">
      <alignment horizontal="center" vertical="center" wrapText="1"/>
      <protection/>
    </xf>
    <xf numFmtId="49" fontId="14" fillId="0" borderId="21" xfId="57" applyNumberFormat="1" applyFont="1" applyFill="1" applyBorder="1" applyAlignment="1">
      <alignment horizontal="center" vertical="center" wrapText="1"/>
      <protection/>
    </xf>
    <xf numFmtId="49" fontId="10" fillId="0" borderId="12" xfId="57" applyNumberFormat="1" applyFont="1" applyBorder="1" applyAlignment="1">
      <alignment horizontal="center"/>
      <protection/>
    </xf>
    <xf numFmtId="49" fontId="12" fillId="0" borderId="0" xfId="57" applyNumberFormat="1" applyFont="1" applyAlignment="1">
      <alignment horizontal="left"/>
      <protection/>
    </xf>
    <xf numFmtId="49" fontId="24" fillId="0" borderId="0" xfId="57" applyNumberFormat="1" applyFont="1" applyAlignment="1">
      <alignment horizontal="center" wrapText="1"/>
      <protection/>
    </xf>
    <xf numFmtId="49" fontId="24" fillId="0" borderId="0" xfId="57" applyNumberFormat="1" applyFont="1" applyAlignment="1">
      <alignment horizontal="center"/>
      <protection/>
    </xf>
    <xf numFmtId="49" fontId="31" fillId="0" borderId="11" xfId="57" applyNumberFormat="1" applyFont="1" applyBorder="1" applyAlignment="1">
      <alignment horizontal="center"/>
      <protection/>
    </xf>
    <xf numFmtId="49" fontId="31" fillId="0" borderId="19" xfId="57" applyNumberFormat="1" applyFont="1" applyBorder="1" applyAlignment="1">
      <alignment horizontal="center"/>
      <protection/>
    </xf>
    <xf numFmtId="49" fontId="14" fillId="0" borderId="18" xfId="57" applyNumberFormat="1" applyFont="1" applyFill="1" applyBorder="1" applyAlignment="1">
      <alignment horizontal="center" vertical="center" wrapText="1"/>
      <protection/>
    </xf>
    <xf numFmtId="49" fontId="14" fillId="0" borderId="25" xfId="57" applyNumberFormat="1" applyFont="1" applyFill="1" applyBorder="1" applyAlignment="1">
      <alignment horizontal="center" vertical="center" wrapText="1"/>
      <protection/>
    </xf>
    <xf numFmtId="49" fontId="14" fillId="0" borderId="30" xfId="57" applyNumberFormat="1" applyFont="1" applyFill="1" applyBorder="1" applyAlignment="1">
      <alignment horizontal="center" vertical="center" wrapText="1"/>
      <protection/>
    </xf>
    <xf numFmtId="49" fontId="14" fillId="0" borderId="29" xfId="57" applyNumberFormat="1" applyFont="1" applyFill="1" applyBorder="1" applyAlignment="1">
      <alignment horizontal="center" vertical="center" wrapText="1"/>
      <protection/>
    </xf>
    <xf numFmtId="49" fontId="25" fillId="0" borderId="0" xfId="57" applyNumberFormat="1" applyFont="1" applyAlignment="1">
      <alignment horizontal="center"/>
      <protection/>
    </xf>
    <xf numFmtId="49" fontId="36" fillId="0" borderId="20" xfId="57" applyNumberFormat="1" applyFont="1" applyBorder="1" applyAlignment="1">
      <alignment horizontal="center" wrapText="1"/>
      <protection/>
    </xf>
    <xf numFmtId="49" fontId="24" fillId="0" borderId="0" xfId="57" applyNumberFormat="1" applyFont="1" applyBorder="1" applyAlignment="1">
      <alignment horizontal="center" wrapText="1"/>
      <protection/>
    </xf>
    <xf numFmtId="0" fontId="14" fillId="0" borderId="28" xfId="57" applyFont="1" applyBorder="1" applyAlignment="1">
      <alignment horizontal="center" vertical="center" wrapText="1"/>
      <protection/>
    </xf>
    <xf numFmtId="0" fontId="14" fillId="0" borderId="19" xfId="57" applyFont="1" applyBorder="1" applyAlignment="1">
      <alignment horizontal="center" vertical="center" wrapText="1"/>
      <protection/>
    </xf>
    <xf numFmtId="49" fontId="15" fillId="20" borderId="11" xfId="57" applyNumberFormat="1" applyFont="1" applyFill="1" applyBorder="1" applyAlignment="1">
      <alignment horizontal="center" vertical="center"/>
      <protection/>
    </xf>
    <xf numFmtId="49" fontId="15" fillId="20" borderId="19" xfId="57" applyNumberFormat="1" applyFont="1" applyFill="1" applyBorder="1" applyAlignment="1">
      <alignment horizontal="center" vertical="center"/>
      <protection/>
    </xf>
    <xf numFmtId="49" fontId="36" fillId="0" borderId="20" xfId="57" applyNumberFormat="1" applyFont="1" applyBorder="1" applyAlignment="1">
      <alignment horizontal="center"/>
      <protection/>
    </xf>
    <xf numFmtId="49" fontId="14" fillId="0" borderId="11" xfId="57" applyNumberFormat="1" applyFont="1" applyBorder="1" applyAlignment="1">
      <alignment horizontal="center" vertical="center" wrapText="1"/>
      <protection/>
    </xf>
    <xf numFmtId="49" fontId="14" fillId="0" borderId="28" xfId="57" applyNumberFormat="1" applyFont="1" applyBorder="1" applyAlignment="1">
      <alignment horizontal="center" vertical="center" wrapText="1"/>
      <protection/>
    </xf>
    <xf numFmtId="49" fontId="14" fillId="0" borderId="19" xfId="57" applyNumberFormat="1" applyFont="1" applyBorder="1" applyAlignment="1">
      <alignment horizontal="center" vertical="center" wrapText="1"/>
      <protection/>
    </xf>
    <xf numFmtId="49" fontId="0" fillId="25" borderId="0" xfId="57" applyNumberFormat="1" applyFont="1" applyFill="1" applyBorder="1" applyAlignment="1">
      <alignment horizontal="left"/>
      <protection/>
    </xf>
    <xf numFmtId="49" fontId="12" fillId="0" borderId="0" xfId="57" applyNumberFormat="1" applyFont="1" applyAlignment="1">
      <alignment/>
      <protection/>
    </xf>
    <xf numFmtId="49" fontId="0" fillId="0" borderId="0" xfId="57" applyNumberFormat="1" applyFont="1" applyBorder="1" applyAlignment="1">
      <alignment horizontal="left"/>
      <protection/>
    </xf>
    <xf numFmtId="49" fontId="12" fillId="0" borderId="0" xfId="57" applyNumberFormat="1" applyFont="1" applyBorder="1" applyAlignment="1">
      <alignment horizontal="left"/>
      <protection/>
    </xf>
    <xf numFmtId="49" fontId="16" fillId="0" borderId="0" xfId="57" applyNumberFormat="1" applyFont="1" applyAlignment="1">
      <alignment horizontal="center"/>
      <protection/>
    </xf>
    <xf numFmtId="49" fontId="0" fillId="0" borderId="0" xfId="57" applyNumberFormat="1" applyFont="1" applyBorder="1" applyAlignment="1">
      <alignment horizontal="left"/>
      <protection/>
    </xf>
    <xf numFmtId="49" fontId="14" fillId="0" borderId="12" xfId="57" applyNumberFormat="1" applyFont="1" applyBorder="1" applyAlignment="1">
      <alignment horizontal="left"/>
      <protection/>
    </xf>
    <xf numFmtId="49" fontId="14" fillId="0" borderId="14" xfId="57" applyNumberFormat="1" applyFont="1" applyBorder="1" applyAlignment="1">
      <alignment horizontal="center" vertical="center" wrapText="1"/>
      <protection/>
    </xf>
    <xf numFmtId="49" fontId="14" fillId="0" borderId="13" xfId="57" applyNumberFormat="1" applyFont="1" applyBorder="1" applyAlignment="1">
      <alignment horizontal="center" vertical="center" wrapText="1"/>
      <protection/>
    </xf>
    <xf numFmtId="49" fontId="16" fillId="20" borderId="11" xfId="57" applyNumberFormat="1" applyFont="1" applyFill="1" applyBorder="1" applyAlignment="1">
      <alignment horizontal="center" vertical="center" wrapText="1"/>
      <protection/>
    </xf>
    <xf numFmtId="49" fontId="16" fillId="20" borderId="19" xfId="57" applyNumberFormat="1" applyFont="1" applyFill="1" applyBorder="1" applyAlignment="1">
      <alignment horizontal="center" vertical="center" wrapText="1"/>
      <protection/>
    </xf>
    <xf numFmtId="49" fontId="14" fillId="0" borderId="22" xfId="57" applyNumberFormat="1" applyFont="1" applyBorder="1" applyAlignment="1">
      <alignment horizontal="center" vertical="center" wrapText="1"/>
      <protection/>
    </xf>
    <xf numFmtId="49" fontId="14" fillId="0" borderId="18" xfId="57" applyNumberFormat="1" applyFont="1" applyFill="1" applyBorder="1" applyAlignment="1">
      <alignment horizontal="center" vertical="center"/>
      <protection/>
    </xf>
    <xf numFmtId="49" fontId="14" fillId="0" borderId="25" xfId="57" applyNumberFormat="1" applyFont="1" applyFill="1" applyBorder="1" applyAlignment="1">
      <alignment horizontal="center" vertical="center"/>
      <protection/>
    </xf>
    <xf numFmtId="49" fontId="14" fillId="0" borderId="30" xfId="57" applyNumberFormat="1" applyFont="1" applyFill="1" applyBorder="1" applyAlignment="1">
      <alignment horizontal="center" vertical="center"/>
      <protection/>
    </xf>
    <xf numFmtId="49" fontId="14" fillId="0" borderId="29" xfId="57" applyNumberFormat="1" applyFont="1" applyFill="1" applyBorder="1" applyAlignment="1">
      <alignment horizontal="center" vertical="center"/>
      <protection/>
    </xf>
    <xf numFmtId="49" fontId="14" fillId="0" borderId="16" xfId="57" applyNumberFormat="1" applyFont="1" applyFill="1" applyBorder="1" applyAlignment="1">
      <alignment horizontal="center" vertical="center"/>
      <protection/>
    </xf>
    <xf numFmtId="49" fontId="14" fillId="0" borderId="21" xfId="57" applyNumberFormat="1" applyFont="1" applyFill="1" applyBorder="1" applyAlignment="1">
      <alignment horizontal="center" vertical="center"/>
      <protection/>
    </xf>
    <xf numFmtId="49" fontId="31" fillId="0" borderId="11" xfId="57" applyNumberFormat="1" applyFont="1" applyBorder="1" applyAlignment="1">
      <alignment horizontal="center" vertical="center" wrapText="1"/>
      <protection/>
    </xf>
    <xf numFmtId="49" fontId="31" fillId="0" borderId="19" xfId="57" applyNumberFormat="1" applyFont="1" applyBorder="1" applyAlignment="1">
      <alignment horizontal="center" vertical="center" wrapText="1"/>
      <protection/>
    </xf>
    <xf numFmtId="49" fontId="14" fillId="0" borderId="0" xfId="57" applyNumberFormat="1" applyFont="1" applyBorder="1" applyAlignment="1">
      <alignment horizontal="left"/>
      <protection/>
    </xf>
    <xf numFmtId="49" fontId="14" fillId="0" borderId="10" xfId="57" applyNumberFormat="1" applyFont="1" applyFill="1" applyBorder="1" applyAlignment="1">
      <alignment horizontal="center" vertical="center"/>
      <protection/>
    </xf>
    <xf numFmtId="49" fontId="49" fillId="25" borderId="10" xfId="57" applyNumberFormat="1" applyFont="1" applyFill="1" applyBorder="1" applyAlignment="1">
      <alignment horizontal="center" vertical="center" wrapText="1"/>
      <protection/>
    </xf>
    <xf numFmtId="49" fontId="22" fillId="20" borderId="10" xfId="57" applyNumberFormat="1" applyFont="1" applyFill="1" applyBorder="1" applyAlignment="1">
      <alignment horizontal="center" vertical="center" wrapText="1"/>
      <protection/>
    </xf>
    <xf numFmtId="49" fontId="36" fillId="0" borderId="0" xfId="57" applyNumberFormat="1" applyFont="1" applyBorder="1" applyAlignment="1">
      <alignment horizontal="center" wrapText="1"/>
      <protection/>
    </xf>
    <xf numFmtId="49" fontId="10" fillId="0" borderId="0" xfId="57" applyNumberFormat="1" applyFont="1" applyAlignment="1">
      <alignment horizontal="center" wrapText="1"/>
      <protection/>
    </xf>
    <xf numFmtId="49" fontId="14" fillId="25" borderId="0" xfId="57" applyNumberFormat="1" applyFont="1" applyFill="1" applyBorder="1" applyAlignment="1">
      <alignment horizontal="left" vertical="center" wrapText="1"/>
      <protection/>
    </xf>
    <xf numFmtId="49" fontId="12" fillId="0" borderId="0" xfId="57" applyNumberFormat="1" applyFont="1" applyAlignment="1">
      <alignment horizontal="justify" vertical="top"/>
      <protection/>
    </xf>
    <xf numFmtId="49" fontId="14" fillId="0" borderId="0" xfId="57" applyNumberFormat="1" applyFont="1" applyBorder="1" applyAlignment="1">
      <alignment horizontal="justify" vertical="center" wrapText="1"/>
      <protection/>
    </xf>
    <xf numFmtId="49" fontId="14" fillId="0" borderId="0" xfId="57" applyNumberFormat="1" applyFont="1" applyBorder="1" applyAlignment="1">
      <alignment horizontal="justify" vertical="center"/>
      <protection/>
    </xf>
    <xf numFmtId="0" fontId="49" fillId="0" borderId="11" xfId="57" applyFont="1" applyBorder="1" applyAlignment="1">
      <alignment horizontal="center" wrapText="1"/>
      <protection/>
    </xf>
    <xf numFmtId="0" fontId="49" fillId="0" borderId="19" xfId="57" applyFont="1" applyBorder="1" applyAlignment="1">
      <alignment horizontal="center" wrapText="1"/>
      <protection/>
    </xf>
    <xf numFmtId="0" fontId="15" fillId="20" borderId="11" xfId="57" applyFont="1" applyFill="1" applyBorder="1" applyAlignment="1">
      <alignment horizontal="center" vertical="center" wrapText="1"/>
      <protection/>
    </xf>
    <xf numFmtId="0" fontId="15" fillId="20" borderId="19" xfId="57" applyFont="1" applyFill="1" applyBorder="1" applyAlignment="1">
      <alignment horizontal="center" vertical="center" wrapText="1"/>
      <protection/>
    </xf>
    <xf numFmtId="0" fontId="30" fillId="0" borderId="0" xfId="57" applyFont="1" applyBorder="1" applyAlignment="1">
      <alignment horizontal="center" wrapText="1"/>
      <protection/>
    </xf>
    <xf numFmtId="0" fontId="10" fillId="0" borderId="0" xfId="57" applyFont="1" applyBorder="1" applyAlignment="1">
      <alignment horizontal="center" wrapText="1"/>
      <protection/>
    </xf>
    <xf numFmtId="0" fontId="30" fillId="0" borderId="0" xfId="57" applyNumberFormat="1" applyFont="1" applyBorder="1" applyAlignment="1">
      <alignment horizontal="center"/>
      <protection/>
    </xf>
    <xf numFmtId="0" fontId="24" fillId="0" borderId="0" xfId="0" applyFont="1" applyAlignment="1">
      <alignment horizontal="center"/>
    </xf>
    <xf numFmtId="0" fontId="14" fillId="0" borderId="10" xfId="57" applyFont="1" applyFill="1" applyBorder="1" applyAlignment="1">
      <alignment horizontal="center" vertical="center" wrapText="1"/>
      <protection/>
    </xf>
    <xf numFmtId="0" fontId="14" fillId="0" borderId="10" xfId="57" applyFont="1" applyBorder="1" applyAlignment="1">
      <alignment horizontal="center" vertical="center" wrapText="1"/>
      <protection/>
    </xf>
    <xf numFmtId="0" fontId="41" fillId="0" borderId="10" xfId="57" applyFont="1" applyBorder="1" applyAlignment="1">
      <alignment horizontal="center" vertical="center" wrapText="1"/>
      <protection/>
    </xf>
    <xf numFmtId="0" fontId="0" fillId="0" borderId="0" xfId="57" applyFont="1" applyBorder="1" applyAlignment="1">
      <alignment horizontal="left"/>
      <protection/>
    </xf>
    <xf numFmtId="0" fontId="10" fillId="0" borderId="0" xfId="57" applyFont="1" applyBorder="1" applyAlignment="1">
      <alignment horizontal="left"/>
      <protection/>
    </xf>
    <xf numFmtId="0" fontId="12" fillId="0" borderId="12" xfId="57" applyFont="1" applyBorder="1" applyAlignment="1">
      <alignment horizontal="left"/>
      <protection/>
    </xf>
    <xf numFmtId="49" fontId="14" fillId="0" borderId="15" xfId="57" applyNumberFormat="1" applyFont="1" applyFill="1" applyBorder="1" applyAlignment="1">
      <alignment horizontal="center" vertical="center"/>
      <protection/>
    </xf>
    <xf numFmtId="49" fontId="14" fillId="0" borderId="0" xfId="57" applyNumberFormat="1" applyFont="1" applyFill="1" applyBorder="1" applyAlignment="1">
      <alignment horizontal="center" vertical="center"/>
      <protection/>
    </xf>
    <xf numFmtId="49" fontId="14" fillId="0" borderId="12" xfId="57" applyNumberFormat="1" applyFont="1" applyFill="1" applyBorder="1" applyAlignment="1">
      <alignment horizontal="center" vertical="center"/>
      <protection/>
    </xf>
    <xf numFmtId="0" fontId="14" fillId="0" borderId="14" xfId="57" applyFont="1" applyBorder="1" applyAlignment="1">
      <alignment horizontal="center" vertical="center" wrapText="1"/>
      <protection/>
    </xf>
    <xf numFmtId="0" fontId="14" fillId="0" borderId="22"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11" xfId="57" applyFont="1" applyBorder="1" applyAlignment="1">
      <alignment horizontal="center" vertical="center"/>
      <protection/>
    </xf>
    <xf numFmtId="0" fontId="14" fillId="0" borderId="28" xfId="57" applyFont="1" applyBorder="1" applyAlignment="1">
      <alignment horizontal="center" vertical="center"/>
      <protection/>
    </xf>
    <xf numFmtId="0" fontId="14" fillId="0" borderId="19" xfId="57" applyFont="1" applyBorder="1" applyAlignment="1">
      <alignment horizontal="center" vertical="center"/>
      <protection/>
    </xf>
    <xf numFmtId="0" fontId="14" fillId="0" borderId="18" xfId="57" applyFont="1" applyBorder="1" applyAlignment="1">
      <alignment horizontal="center" vertical="center" wrapText="1"/>
      <protection/>
    </xf>
    <xf numFmtId="0" fontId="14" fillId="0" borderId="15" xfId="57" applyFont="1" applyBorder="1" applyAlignment="1">
      <alignment horizontal="center" vertical="center" wrapText="1"/>
      <protection/>
    </xf>
    <xf numFmtId="0" fontId="14" fillId="0" borderId="25" xfId="57" applyFont="1" applyBorder="1" applyAlignment="1">
      <alignment horizontal="center" vertical="center" wrapText="1"/>
      <protection/>
    </xf>
    <xf numFmtId="0" fontId="14" fillId="0" borderId="30" xfId="57" applyFont="1" applyBorder="1" applyAlignment="1">
      <alignment horizontal="center" vertical="center" wrapText="1"/>
      <protection/>
    </xf>
    <xf numFmtId="0" fontId="14" fillId="0" borderId="0" xfId="57" applyFont="1" applyBorder="1" applyAlignment="1">
      <alignment horizontal="center" vertical="center" wrapText="1"/>
      <protection/>
    </xf>
    <xf numFmtId="0" fontId="14" fillId="0" borderId="29" xfId="57" applyFont="1" applyBorder="1" applyAlignment="1">
      <alignment horizontal="center" vertical="center" wrapText="1"/>
      <protection/>
    </xf>
    <xf numFmtId="0" fontId="14" fillId="0" borderId="10" xfId="57" applyFont="1" applyBorder="1" applyAlignment="1">
      <alignment horizontal="center" vertical="center"/>
      <protection/>
    </xf>
    <xf numFmtId="0" fontId="0" fillId="0" borderId="0" xfId="57" applyFont="1" applyAlignment="1">
      <alignment horizontal="left"/>
      <protection/>
    </xf>
    <xf numFmtId="49" fontId="10" fillId="0" borderId="0" xfId="57" applyNumberFormat="1" applyFont="1" applyAlignment="1">
      <alignment horizontal="center"/>
      <protection/>
    </xf>
    <xf numFmtId="3" fontId="12" fillId="25" borderId="0" xfId="57" applyNumberFormat="1" applyFont="1" applyFill="1" applyBorder="1" applyAlignment="1">
      <alignment horizontal="left"/>
      <protection/>
    </xf>
    <xf numFmtId="0" fontId="0" fillId="0" borderId="0" xfId="57" applyFont="1" applyAlignment="1">
      <alignment horizontal="left"/>
      <protection/>
    </xf>
    <xf numFmtId="0" fontId="16" fillId="0" borderId="0" xfId="57" applyFont="1" applyBorder="1" applyAlignment="1">
      <alignment horizontal="left"/>
      <protection/>
    </xf>
    <xf numFmtId="49" fontId="52" fillId="0" borderId="11" xfId="57" applyNumberFormat="1" applyFont="1" applyBorder="1" applyAlignment="1">
      <alignment horizontal="center" wrapText="1"/>
      <protection/>
    </xf>
    <xf numFmtId="49" fontId="52" fillId="0" borderId="19" xfId="57" applyNumberFormat="1" applyFont="1" applyBorder="1" applyAlignment="1">
      <alignment horizontal="center" wrapText="1"/>
      <protection/>
    </xf>
    <xf numFmtId="49" fontId="15" fillId="20" borderId="11" xfId="57" applyNumberFormat="1" applyFont="1" applyFill="1" applyBorder="1" applyAlignment="1">
      <alignment horizontal="center" vertical="center" wrapText="1"/>
      <protection/>
    </xf>
    <xf numFmtId="49" fontId="15" fillId="20" borderId="19" xfId="57" applyNumberFormat="1" applyFont="1" applyFill="1" applyBorder="1" applyAlignment="1">
      <alignment horizontal="center" vertical="center" wrapText="1"/>
      <protection/>
    </xf>
    <xf numFmtId="49" fontId="14" fillId="0" borderId="28" xfId="57" applyNumberFormat="1" applyFont="1" applyFill="1" applyBorder="1" applyAlignment="1">
      <alignment horizontal="center" vertical="center"/>
      <protection/>
    </xf>
    <xf numFmtId="49" fontId="0" fillId="0" borderId="0" xfId="57" applyNumberFormat="1" applyFont="1" applyBorder="1" applyAlignment="1">
      <alignment horizontal="left"/>
      <protection/>
    </xf>
    <xf numFmtId="49" fontId="14" fillId="0" borderId="11" xfId="57" applyNumberFormat="1" applyFont="1" applyFill="1" applyBorder="1" applyAlignment="1">
      <alignment horizontal="center" vertical="center"/>
      <protection/>
    </xf>
    <xf numFmtId="49" fontId="0" fillId="0" borderId="0" xfId="57" applyNumberFormat="1" applyFont="1" applyAlignment="1">
      <alignment horizontal="left"/>
      <protection/>
    </xf>
    <xf numFmtId="0" fontId="24" fillId="0" borderId="0" xfId="57" applyFont="1" applyBorder="1" applyAlignment="1">
      <alignment horizontal="center" wrapText="1"/>
      <protection/>
    </xf>
    <xf numFmtId="0" fontId="22" fillId="20" borderId="11" xfId="57" applyFont="1" applyFill="1" applyBorder="1" applyAlignment="1">
      <alignment horizontal="center" wrapText="1"/>
      <protection/>
    </xf>
    <xf numFmtId="0" fontId="22" fillId="20" borderId="19" xfId="57" applyFont="1" applyFill="1" applyBorder="1" applyAlignment="1">
      <alignment horizontal="center" wrapText="1"/>
      <protection/>
    </xf>
    <xf numFmtId="0" fontId="17" fillId="0" borderId="18" xfId="57" applyFont="1" applyFill="1" applyBorder="1" applyAlignment="1">
      <alignment horizontal="center" vertical="center" wrapText="1"/>
      <protection/>
    </xf>
    <xf numFmtId="0" fontId="17" fillId="0" borderId="15" xfId="57" applyFont="1" applyFill="1" applyBorder="1" applyAlignment="1">
      <alignment horizontal="center" vertical="center" wrapText="1"/>
      <protection/>
    </xf>
    <xf numFmtId="0" fontId="17" fillId="0" borderId="25" xfId="57" applyFont="1" applyFill="1" applyBorder="1" applyAlignment="1">
      <alignment horizontal="center" vertical="center" wrapText="1"/>
      <protection/>
    </xf>
    <xf numFmtId="0" fontId="17" fillId="0" borderId="30" xfId="57" applyFont="1" applyFill="1" applyBorder="1" applyAlignment="1">
      <alignment horizontal="center" vertical="center" wrapText="1"/>
      <protection/>
    </xf>
    <xf numFmtId="0" fontId="17" fillId="0" borderId="0" xfId="57" applyFont="1" applyFill="1" applyBorder="1" applyAlignment="1">
      <alignment horizontal="center" vertical="center" wrapText="1"/>
      <protection/>
    </xf>
    <xf numFmtId="0" fontId="17" fillId="0" borderId="11" xfId="57" applyFont="1" applyFill="1" applyBorder="1" applyAlignment="1">
      <alignment horizontal="center" vertical="center" wrapText="1"/>
      <protection/>
    </xf>
    <xf numFmtId="0" fontId="17" fillId="0" borderId="28" xfId="57" applyFont="1" applyFill="1" applyBorder="1" applyAlignment="1">
      <alignment horizontal="center" vertical="center" wrapText="1"/>
      <protection/>
    </xf>
    <xf numFmtId="0" fontId="17" fillId="0" borderId="19" xfId="57" applyFont="1" applyFill="1" applyBorder="1" applyAlignment="1">
      <alignment horizontal="center" vertical="center" wrapText="1"/>
      <protection/>
    </xf>
    <xf numFmtId="0" fontId="17" fillId="0" borderId="14" xfId="57" applyFont="1" applyFill="1" applyBorder="1" applyAlignment="1">
      <alignment horizontal="center" vertical="center" wrapText="1"/>
      <protection/>
    </xf>
    <xf numFmtId="0" fontId="17" fillId="0" borderId="13" xfId="57" applyFont="1" applyFill="1" applyBorder="1" applyAlignment="1">
      <alignment horizontal="center" vertical="center" wrapText="1"/>
      <protection/>
    </xf>
    <xf numFmtId="0" fontId="17" fillId="0" borderId="16" xfId="57" applyFont="1" applyFill="1" applyBorder="1" applyAlignment="1">
      <alignment horizontal="center" vertical="center" wrapText="1"/>
      <protection/>
    </xf>
    <xf numFmtId="0" fontId="36" fillId="0" borderId="20" xfId="57" applyNumberFormat="1" applyFont="1" applyBorder="1" applyAlignment="1">
      <alignment horizontal="center"/>
      <protection/>
    </xf>
    <xf numFmtId="0" fontId="45" fillId="0" borderId="22" xfId="57" applyFont="1" applyFill="1" applyBorder="1" applyAlignment="1">
      <alignment horizontal="center" vertical="center"/>
      <protection/>
    </xf>
    <xf numFmtId="0" fontId="45" fillId="0" borderId="13" xfId="57" applyFont="1" applyFill="1" applyBorder="1" applyAlignment="1">
      <alignment horizontal="center" vertical="center"/>
      <protection/>
    </xf>
    <xf numFmtId="0" fontId="17" fillId="0" borderId="22" xfId="57" applyFont="1" applyFill="1" applyBorder="1" applyAlignment="1">
      <alignment horizontal="center" vertical="center" wrapText="1"/>
      <protection/>
    </xf>
    <xf numFmtId="0" fontId="43" fillId="0" borderId="22" xfId="57" applyFont="1" applyBorder="1" applyAlignment="1">
      <alignment horizontal="center" vertical="center"/>
      <protection/>
    </xf>
    <xf numFmtId="0" fontId="43" fillId="0" borderId="13" xfId="57" applyFont="1" applyBorder="1" applyAlignment="1">
      <alignment horizontal="center" vertical="center"/>
      <protection/>
    </xf>
    <xf numFmtId="0" fontId="0" fillId="0" borderId="0" xfId="57" applyFont="1" applyBorder="1" applyAlignment="1">
      <alignment/>
      <protection/>
    </xf>
    <xf numFmtId="0" fontId="17" fillId="0" borderId="10" xfId="57" applyFont="1" applyFill="1" applyBorder="1" applyAlignment="1">
      <alignment horizontal="center" vertical="center" wrapText="1"/>
      <protection/>
    </xf>
    <xf numFmtId="0" fontId="17" fillId="0" borderId="12" xfId="57" applyFont="1" applyFill="1" applyBorder="1" applyAlignment="1">
      <alignment horizontal="center" vertical="center" wrapText="1"/>
      <protection/>
    </xf>
    <xf numFmtId="0" fontId="17" fillId="0" borderId="21" xfId="57" applyFont="1" applyFill="1" applyBorder="1" applyAlignment="1">
      <alignment horizontal="center" vertical="center" wrapText="1"/>
      <protection/>
    </xf>
    <xf numFmtId="0" fontId="17" fillId="0" borderId="11" xfId="57" applyFont="1" applyFill="1" applyBorder="1" applyAlignment="1">
      <alignment horizontal="center" vertical="center"/>
      <protection/>
    </xf>
    <xf numFmtId="0" fontId="17" fillId="0" borderId="28" xfId="57" applyFont="1" applyFill="1" applyBorder="1" applyAlignment="1">
      <alignment horizontal="center" vertical="center"/>
      <protection/>
    </xf>
    <xf numFmtId="0" fontId="17" fillId="0" borderId="19" xfId="57" applyFont="1" applyFill="1" applyBorder="1" applyAlignment="1">
      <alignment horizontal="center" vertical="center"/>
      <protection/>
    </xf>
    <xf numFmtId="0" fontId="0" fillId="0" borderId="0" xfId="57" applyNumberFormat="1" applyFont="1" applyAlignment="1">
      <alignment/>
      <protection/>
    </xf>
    <xf numFmtId="0" fontId="24" fillId="0" borderId="0" xfId="57" applyNumberFormat="1" applyFont="1" applyAlignment="1">
      <alignment horizontal="center" wrapText="1"/>
      <protection/>
    </xf>
    <xf numFmtId="0" fontId="0" fillId="0" borderId="0" xfId="57" applyFont="1" applyAlignment="1">
      <alignment/>
      <protection/>
    </xf>
    <xf numFmtId="0" fontId="17" fillId="0" borderId="10" xfId="57" applyFont="1" applyFill="1" applyBorder="1" applyAlignment="1">
      <alignment horizontal="center" vertical="center"/>
      <protection/>
    </xf>
    <xf numFmtId="0" fontId="10" fillId="0" borderId="0" xfId="57" applyFont="1" applyBorder="1" applyAlignment="1">
      <alignment horizontal="center"/>
      <protection/>
    </xf>
    <xf numFmtId="49" fontId="16" fillId="0" borderId="0" xfId="57" applyNumberFormat="1" applyFont="1" applyBorder="1" applyAlignment="1">
      <alignment horizontal="center"/>
      <protection/>
    </xf>
    <xf numFmtId="49" fontId="30" fillId="0" borderId="20" xfId="57" applyNumberFormat="1" applyFont="1" applyBorder="1" applyAlignment="1">
      <alignment horizontal="center"/>
      <protection/>
    </xf>
    <xf numFmtId="49" fontId="17" fillId="0" borderId="11" xfId="57" applyNumberFormat="1" applyFont="1" applyFill="1" applyBorder="1" applyAlignment="1">
      <alignment horizontal="center" vertical="center" wrapText="1" readingOrder="1"/>
      <protection/>
    </xf>
    <xf numFmtId="49" fontId="17" fillId="0" borderId="15" xfId="57" applyNumberFormat="1" applyFont="1" applyFill="1" applyBorder="1" applyAlignment="1">
      <alignment horizontal="center" vertical="center" wrapText="1" readingOrder="1"/>
      <protection/>
    </xf>
    <xf numFmtId="49" fontId="17" fillId="0" borderId="14" xfId="57" applyNumberFormat="1" applyFont="1" applyFill="1" applyBorder="1" applyAlignment="1">
      <alignment horizontal="center" vertical="center" wrapText="1" readingOrder="1"/>
      <protection/>
    </xf>
    <xf numFmtId="49" fontId="17" fillId="0" borderId="22" xfId="57" applyNumberFormat="1" applyFont="1" applyFill="1" applyBorder="1" applyAlignment="1">
      <alignment horizontal="center" vertical="center" wrapText="1" readingOrder="1"/>
      <protection/>
    </xf>
    <xf numFmtId="49" fontId="17" fillId="0" borderId="13" xfId="57" applyNumberFormat="1" applyFont="1" applyFill="1" applyBorder="1" applyAlignment="1">
      <alignment horizontal="center" vertical="center" wrapText="1" readingOrder="1"/>
      <protection/>
    </xf>
    <xf numFmtId="49" fontId="17" fillId="0" borderId="28" xfId="57" applyNumberFormat="1" applyFont="1" applyFill="1" applyBorder="1" applyAlignment="1">
      <alignment horizontal="center" vertical="center" wrapText="1" readingOrder="1"/>
      <protection/>
    </xf>
    <xf numFmtId="49" fontId="17" fillId="0" borderId="19" xfId="57" applyNumberFormat="1" applyFont="1" applyFill="1" applyBorder="1" applyAlignment="1">
      <alignment horizontal="center" vertical="center" wrapText="1" readingOrder="1"/>
      <protection/>
    </xf>
    <xf numFmtId="49" fontId="17" fillId="0" borderId="10" xfId="57" applyNumberFormat="1" applyFont="1" applyFill="1" applyBorder="1" applyAlignment="1">
      <alignment horizontal="center" vertical="center" wrapText="1" readingOrder="1"/>
      <protection/>
    </xf>
    <xf numFmtId="49" fontId="17" fillId="0" borderId="18" xfId="57" applyNumberFormat="1" applyFont="1" applyFill="1" applyBorder="1" applyAlignment="1">
      <alignment horizontal="center" vertical="center" wrapText="1" readingOrder="1"/>
      <protection/>
    </xf>
    <xf numFmtId="49" fontId="17" fillId="0" borderId="25" xfId="57" applyNumberFormat="1" applyFont="1" applyFill="1" applyBorder="1" applyAlignment="1">
      <alignment horizontal="center" vertical="center" wrapText="1" readingOrder="1"/>
      <protection/>
    </xf>
    <xf numFmtId="49" fontId="17" fillId="0" borderId="16" xfId="57" applyNumberFormat="1" applyFont="1" applyFill="1" applyBorder="1" applyAlignment="1">
      <alignment horizontal="center" vertical="center" wrapText="1" readingOrder="1"/>
      <protection/>
    </xf>
    <xf numFmtId="49" fontId="17" fillId="0" borderId="12" xfId="57" applyNumberFormat="1" applyFont="1" applyFill="1" applyBorder="1" applyAlignment="1">
      <alignment horizontal="center" vertical="center" wrapText="1" readingOrder="1"/>
      <protection/>
    </xf>
    <xf numFmtId="49" fontId="17" fillId="0" borderId="21" xfId="57" applyNumberFormat="1" applyFont="1" applyFill="1" applyBorder="1" applyAlignment="1">
      <alignment horizontal="center" vertical="center" wrapText="1" readingOrder="1"/>
      <protection/>
    </xf>
    <xf numFmtId="49" fontId="0" fillId="0" borderId="12" xfId="57" applyNumberFormat="1" applyFont="1" applyBorder="1" applyAlignment="1">
      <alignment horizontal="left" vertical="center"/>
      <protection/>
    </xf>
    <xf numFmtId="49" fontId="15" fillId="20" borderId="11" xfId="57" applyNumberFormat="1" applyFont="1" applyFill="1" applyBorder="1" applyAlignment="1">
      <alignment horizontal="center" wrapText="1"/>
      <protection/>
    </xf>
    <xf numFmtId="49" fontId="15" fillId="20" borderId="19" xfId="57" applyNumberFormat="1" applyFont="1" applyFill="1" applyBorder="1" applyAlignment="1">
      <alignment horizontal="center" wrapText="1"/>
      <protection/>
    </xf>
    <xf numFmtId="49" fontId="30" fillId="0" borderId="0" xfId="57" applyNumberFormat="1" applyFont="1" applyBorder="1" applyAlignment="1">
      <alignment horizontal="center" wrapText="1"/>
      <protection/>
    </xf>
    <xf numFmtId="0" fontId="17" fillId="0" borderId="22" xfId="57" applyFont="1" applyBorder="1" applyAlignment="1">
      <alignment horizontal="center" vertical="center" wrapText="1" readingOrder="1"/>
      <protection/>
    </xf>
    <xf numFmtId="0" fontId="17" fillId="0" borderId="13" xfId="57" applyFont="1" applyBorder="1" applyAlignment="1">
      <alignment horizontal="center" vertical="center" wrapText="1" readingOrder="1"/>
      <protection/>
    </xf>
    <xf numFmtId="49" fontId="0" fillId="0" borderId="0" xfId="57" applyNumberFormat="1" applyFont="1" applyBorder="1" applyAlignment="1">
      <alignment/>
      <protection/>
    </xf>
    <xf numFmtId="49" fontId="14" fillId="0" borderId="18" xfId="57" applyNumberFormat="1" applyFont="1" applyFill="1" applyBorder="1" applyAlignment="1">
      <alignment horizontal="center" vertical="center" wrapText="1" readingOrder="1"/>
      <protection/>
    </xf>
    <xf numFmtId="49" fontId="14" fillId="0" borderId="25" xfId="57" applyNumberFormat="1" applyFont="1" applyFill="1" applyBorder="1" applyAlignment="1">
      <alignment horizontal="center" vertical="center" wrapText="1" readingOrder="1"/>
      <protection/>
    </xf>
    <xf numFmtId="49" fontId="14" fillId="0" borderId="30" xfId="57" applyNumberFormat="1" applyFont="1" applyFill="1" applyBorder="1" applyAlignment="1">
      <alignment horizontal="center" vertical="center" wrapText="1" readingOrder="1"/>
      <protection/>
    </xf>
    <xf numFmtId="49" fontId="14" fillId="0" borderId="29" xfId="57" applyNumberFormat="1" applyFont="1" applyFill="1" applyBorder="1" applyAlignment="1">
      <alignment horizontal="center" vertical="center" wrapText="1" readingOrder="1"/>
      <protection/>
    </xf>
    <xf numFmtId="49" fontId="14" fillId="0" borderId="16" xfId="57" applyNumberFormat="1" applyFont="1" applyFill="1" applyBorder="1" applyAlignment="1">
      <alignment horizontal="center" vertical="center" wrapText="1" readingOrder="1"/>
      <protection/>
    </xf>
    <xf numFmtId="49" fontId="14" fillId="0" borderId="21" xfId="57" applyNumberFormat="1" applyFont="1" applyFill="1" applyBorder="1" applyAlignment="1">
      <alignment horizontal="center" vertical="center" wrapText="1" readingOrder="1"/>
      <protection/>
    </xf>
    <xf numFmtId="49" fontId="17" fillId="0" borderId="30" xfId="57" applyNumberFormat="1" applyFont="1" applyFill="1" applyBorder="1" applyAlignment="1">
      <alignment horizontal="center" vertical="center" wrapText="1" readingOrder="1"/>
      <protection/>
    </xf>
    <xf numFmtId="49" fontId="17" fillId="0" borderId="0" xfId="57" applyNumberFormat="1" applyFont="1" applyFill="1" applyBorder="1" applyAlignment="1">
      <alignment horizontal="center" vertical="center" wrapText="1" readingOrder="1"/>
      <protection/>
    </xf>
    <xf numFmtId="49" fontId="17" fillId="0" borderId="14" xfId="57" applyNumberFormat="1" applyFont="1" applyFill="1" applyBorder="1" applyAlignment="1">
      <alignment horizontal="center" wrapText="1" readingOrder="1"/>
      <protection/>
    </xf>
    <xf numFmtId="49" fontId="17" fillId="0" borderId="13" xfId="57" applyNumberFormat="1" applyFont="1" applyFill="1" applyBorder="1" applyAlignment="1">
      <alignment horizontal="center" wrapText="1" readingOrder="1"/>
      <protection/>
    </xf>
    <xf numFmtId="49" fontId="0" fillId="0" borderId="0" xfId="57" applyNumberFormat="1" applyFont="1" applyAlignment="1">
      <alignment/>
      <protection/>
    </xf>
    <xf numFmtId="0" fontId="16" fillId="0" borderId="0" xfId="0" applyNumberFormat="1" applyFont="1" applyAlignment="1">
      <alignment horizontal="center" vertical="center"/>
    </xf>
    <xf numFmtId="0" fontId="12" fillId="0" borderId="10" xfId="0" applyNumberFormat="1" applyFont="1" applyFill="1" applyBorder="1" applyAlignment="1">
      <alignment horizontal="center" vertical="center" wrapText="1"/>
    </xf>
    <xf numFmtId="0" fontId="0" fillId="0" borderId="10" xfId="0" applyNumberFormat="1" applyFont="1" applyBorder="1" applyAlignment="1">
      <alignment horizontal="center"/>
    </xf>
    <xf numFmtId="0" fontId="0" fillId="0" borderId="12" xfId="0" applyNumberFormat="1" applyFont="1" applyBorder="1" applyAlignment="1">
      <alignment horizontal="left"/>
    </xf>
    <xf numFmtId="0" fontId="0" fillId="0" borderId="0" xfId="0" applyNumberFormat="1" applyFont="1" applyAlignment="1">
      <alignment horizontal="center" wrapText="1"/>
    </xf>
    <xf numFmtId="0" fontId="36" fillId="0" borderId="0" xfId="0" applyNumberFormat="1" applyFont="1" applyBorder="1" applyAlignment="1">
      <alignment horizontal="center"/>
    </xf>
    <xf numFmtId="0" fontId="24" fillId="0" borderId="0" xfId="0" applyNumberFormat="1" applyFont="1" applyBorder="1" applyAlignment="1">
      <alignment horizontal="center"/>
    </xf>
    <xf numFmtId="0" fontId="24" fillId="0" borderId="0" xfId="0" applyNumberFormat="1" applyFont="1" applyAlignment="1">
      <alignment horizontal="center"/>
    </xf>
    <xf numFmtId="0" fontId="25" fillId="0" borderId="0" xfId="0" applyNumberFormat="1" applyFont="1" applyAlignment="1">
      <alignment horizontal="left" wrapText="1"/>
    </xf>
    <xf numFmtId="0" fontId="24" fillId="0" borderId="0" xfId="0" applyNumberFormat="1" applyFont="1" applyAlignment="1">
      <alignment horizontal="left" wrapText="1"/>
    </xf>
    <xf numFmtId="0" fontId="23" fillId="0" borderId="0" xfId="0" applyNumberFormat="1" applyFont="1" applyBorder="1" applyAlignment="1">
      <alignment wrapText="1"/>
    </xf>
    <xf numFmtId="0" fontId="23" fillId="0" borderId="0" xfId="0" applyNumberFormat="1" applyFont="1" applyBorder="1" applyAlignment="1">
      <alignment horizontal="center" wrapText="1"/>
    </xf>
    <xf numFmtId="0" fontId="28" fillId="0" borderId="11" xfId="0" applyNumberFormat="1" applyFont="1" applyBorder="1" applyAlignment="1">
      <alignment horizontal="center" wrapText="1"/>
    </xf>
    <xf numFmtId="0" fontId="28" fillId="0" borderId="19" xfId="0" applyNumberFormat="1" applyFont="1" applyBorder="1" applyAlignment="1">
      <alignment horizontal="center" wrapText="1"/>
    </xf>
    <xf numFmtId="0" fontId="36" fillId="0" borderId="0" xfId="0" applyNumberFormat="1" applyFont="1" applyBorder="1" applyAlignment="1">
      <alignment horizontal="center" wrapText="1"/>
    </xf>
    <xf numFmtId="0" fontId="25" fillId="0" borderId="0" xfId="0" applyNumberFormat="1" applyFont="1" applyBorder="1" applyAlignment="1">
      <alignment horizontal="center" wrapText="1"/>
    </xf>
    <xf numFmtId="0" fontId="0" fillId="0" borderId="0" xfId="0" applyNumberFormat="1" applyFont="1" applyAlignment="1">
      <alignment horizontal="left"/>
    </xf>
    <xf numFmtId="0" fontId="24" fillId="0" borderId="0" xfId="0" applyNumberFormat="1" applyFont="1" applyAlignment="1">
      <alignment horizontal="center" wrapText="1"/>
    </xf>
    <xf numFmtId="0" fontId="14" fillId="0" borderId="10" xfId="0" applyNumberFormat="1" applyFont="1" applyFill="1" applyBorder="1" applyAlignment="1">
      <alignment horizontal="center" vertical="center" wrapText="1"/>
    </xf>
    <xf numFmtId="0" fontId="16" fillId="20" borderId="11" xfId="0" applyNumberFormat="1" applyFont="1" applyFill="1" applyBorder="1" applyAlignment="1">
      <alignment horizontal="center" wrapText="1"/>
    </xf>
    <xf numFmtId="0" fontId="16" fillId="20" borderId="19" xfId="0" applyNumberFormat="1" applyFont="1" applyFill="1" applyBorder="1" applyAlignment="1">
      <alignment horizontal="center" wrapText="1"/>
    </xf>
    <xf numFmtId="0" fontId="0" fillId="0" borderId="0" xfId="0" applyNumberFormat="1" applyFont="1" applyAlignment="1">
      <alignment/>
    </xf>
    <xf numFmtId="49" fontId="0" fillId="0" borderId="0" xfId="0" applyNumberFormat="1" applyFont="1" applyFill="1" applyBorder="1" applyAlignment="1">
      <alignment horizontal="center" wrapText="1"/>
    </xf>
    <xf numFmtId="49" fontId="16" fillId="0" borderId="11"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0" fillId="0" borderId="0" xfId="0" applyNumberFormat="1" applyFont="1" applyFill="1" applyAlignment="1">
      <alignment horizontal="center" wrapText="1"/>
    </xf>
    <xf numFmtId="49" fontId="16" fillId="0" borderId="14" xfId="0" applyNumberFormat="1" applyFont="1" applyFill="1" applyBorder="1" applyAlignment="1">
      <alignment horizontal="center" vertical="center" wrapText="1"/>
    </xf>
    <xf numFmtId="0" fontId="12" fillId="0" borderId="22"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3" fillId="0" borderId="0" xfId="0" applyNumberFormat="1" applyFont="1" applyFill="1" applyAlignment="1">
      <alignment horizontal="left" wrapText="1"/>
    </xf>
    <xf numFmtId="49" fontId="15" fillId="0" borderId="11"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6" fillId="0" borderId="11" xfId="0" applyNumberFormat="1" applyFont="1" applyFill="1" applyBorder="1" applyAlignment="1">
      <alignment horizontal="center"/>
    </xf>
    <xf numFmtId="49" fontId="16" fillId="0" borderId="19" xfId="0" applyNumberFormat="1" applyFont="1" applyFill="1" applyBorder="1" applyAlignment="1">
      <alignment horizontal="center"/>
    </xf>
    <xf numFmtId="49" fontId="25" fillId="0" borderId="0" xfId="0" applyNumberFormat="1" applyFont="1" applyFill="1" applyBorder="1" applyAlignment="1">
      <alignment horizontal="center" wrapText="1"/>
    </xf>
    <xf numFmtId="49" fontId="23" fillId="0" borderId="0" xfId="0" applyNumberFormat="1" applyFont="1" applyFill="1" applyAlignment="1">
      <alignment/>
    </xf>
    <xf numFmtId="49" fontId="25" fillId="0" borderId="15" xfId="0" applyNumberFormat="1" applyFont="1" applyFill="1" applyBorder="1" applyAlignment="1">
      <alignment horizontal="center"/>
    </xf>
    <xf numFmtId="49" fontId="24" fillId="0" borderId="0" xfId="0" applyNumberFormat="1" applyFont="1" applyFill="1" applyBorder="1" applyAlignment="1">
      <alignment horizontal="center"/>
    </xf>
    <xf numFmtId="49" fontId="30" fillId="0" borderId="0" xfId="0" applyNumberFormat="1" applyFont="1" applyFill="1" applyAlignment="1">
      <alignment horizontal="center"/>
    </xf>
    <xf numFmtId="0" fontId="16" fillId="0" borderId="18"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0" fontId="16" fillId="0" borderId="29"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distributed" wrapText="1"/>
    </xf>
    <xf numFmtId="0" fontId="12" fillId="0" borderId="19" xfId="0" applyFont="1" applyFill="1" applyBorder="1" applyAlignment="1">
      <alignment horizontal="center" vertical="distributed"/>
    </xf>
    <xf numFmtId="49" fontId="16" fillId="0" borderId="28" xfId="0" applyNumberFormat="1" applyFont="1" applyFill="1" applyBorder="1" applyAlignment="1">
      <alignment horizontal="center" vertical="center" wrapText="1"/>
    </xf>
    <xf numFmtId="0" fontId="24" fillId="0" borderId="0" xfId="0" applyNumberFormat="1" applyFont="1" applyFill="1" applyAlignment="1">
      <alignment horizontal="center"/>
    </xf>
    <xf numFmtId="0" fontId="10" fillId="0" borderId="0" xfId="0" applyNumberFormat="1" applyFont="1" applyFill="1" applyBorder="1" applyAlignment="1">
      <alignment horizontal="left" vertical="center" wrapText="1"/>
    </xf>
    <xf numFmtId="0" fontId="0" fillId="0" borderId="10" xfId="0" applyNumberFormat="1" applyFont="1" applyFill="1" applyBorder="1" applyAlignment="1">
      <alignment horizontal="center"/>
    </xf>
    <xf numFmtId="0" fontId="23" fillId="0" borderId="0" xfId="0" applyNumberFormat="1" applyFont="1" applyFill="1" applyAlignment="1">
      <alignment horizontal="left" wrapText="1"/>
    </xf>
    <xf numFmtId="0" fontId="23" fillId="0" borderId="0" xfId="0" applyNumberFormat="1" applyFont="1" applyFill="1" applyAlignment="1">
      <alignment/>
    </xf>
    <xf numFmtId="0" fontId="14" fillId="0" borderId="12" xfId="0" applyNumberFormat="1" applyFont="1" applyFill="1" applyBorder="1" applyAlignment="1">
      <alignment horizontal="center" vertical="center" wrapText="1"/>
    </xf>
    <xf numFmtId="0" fontId="36" fillId="0" borderId="20" xfId="0" applyNumberFormat="1" applyFont="1" applyFill="1" applyBorder="1" applyAlignment="1">
      <alignment horizontal="center" vertical="justify" wrapText="1"/>
    </xf>
    <xf numFmtId="0" fontId="24" fillId="0" borderId="0" xfId="0" applyNumberFormat="1" applyFont="1" applyFill="1" applyBorder="1" applyAlignment="1">
      <alignment horizontal="center" vertical="justify"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0" fontId="14" fillId="0" borderId="12" xfId="0" applyNumberFormat="1" applyFont="1" applyFill="1" applyBorder="1" applyAlignment="1">
      <alignment horizontal="left"/>
    </xf>
    <xf numFmtId="0" fontId="10" fillId="0" borderId="12" xfId="0" applyNumberFormat="1" applyFont="1" applyFill="1" applyBorder="1" applyAlignment="1">
      <alignment horizontal="center" vertical="center"/>
    </xf>
    <xf numFmtId="0" fontId="33" fillId="0" borderId="11" xfId="0" applyNumberFormat="1" applyFont="1" applyFill="1" applyBorder="1" applyAlignment="1">
      <alignment horizontal="center" vertical="center" wrapText="1"/>
    </xf>
    <xf numFmtId="0" fontId="33" fillId="0" borderId="19" xfId="0" applyNumberFormat="1" applyFont="1" applyFill="1" applyBorder="1" applyAlignment="1">
      <alignment horizontal="center" vertical="center" wrapText="1"/>
    </xf>
    <xf numFmtId="0" fontId="16" fillId="20" borderId="11" xfId="0" applyNumberFormat="1" applyFont="1" applyFill="1" applyBorder="1" applyAlignment="1">
      <alignment horizontal="center"/>
    </xf>
    <xf numFmtId="0" fontId="16" fillId="20" borderId="19" xfId="0" applyNumberFormat="1" applyFont="1" applyFill="1" applyBorder="1" applyAlignment="1">
      <alignment horizontal="center"/>
    </xf>
    <xf numFmtId="0" fontId="14" fillId="0" borderId="18"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30"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36" fillId="0" borderId="20" xfId="0" applyNumberFormat="1" applyFont="1" applyFill="1" applyBorder="1" applyAlignment="1">
      <alignment horizontal="center" wrapText="1"/>
    </xf>
    <xf numFmtId="0" fontId="25" fillId="0" borderId="20" xfId="0" applyNumberFormat="1" applyFont="1" applyFill="1" applyBorder="1" applyAlignment="1">
      <alignment horizontal="center" wrapText="1"/>
    </xf>
    <xf numFmtId="0" fontId="25" fillId="0" borderId="0" xfId="0" applyNumberFormat="1" applyFont="1" applyFill="1" applyBorder="1" applyAlignment="1">
      <alignment horizontal="center" wrapText="1"/>
    </xf>
    <xf numFmtId="0" fontId="0" fillId="0" borderId="0" xfId="0" applyNumberFormat="1" applyFont="1" applyFill="1" applyAlignment="1">
      <alignment horizontal="left"/>
    </xf>
    <xf numFmtId="0" fontId="14" fillId="0" borderId="11" xfId="0" applyNumberFormat="1" applyFont="1" applyFill="1" applyBorder="1" applyAlignment="1">
      <alignment horizontal="center" vertical="center" wrapText="1"/>
    </xf>
    <xf numFmtId="0" fontId="14" fillId="0" borderId="28"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0" fillId="0" borderId="0" xfId="0" applyNumberFormat="1" applyFont="1" applyFill="1" applyAlignment="1">
      <alignment horizontal="justify" wrapText="1"/>
    </xf>
    <xf numFmtId="0" fontId="0" fillId="0" borderId="0" xfId="0" applyNumberFormat="1" applyFont="1" applyFill="1" applyBorder="1" applyAlignment="1">
      <alignment horizontal="left"/>
    </xf>
    <xf numFmtId="0" fontId="16" fillId="0" borderId="0" xfId="0" applyNumberFormat="1" applyFont="1" applyFill="1" applyAlignment="1">
      <alignment horizontal="center" vertical="top" wrapText="1"/>
    </xf>
    <xf numFmtId="0" fontId="12" fillId="0" borderId="11" xfId="0" applyNumberFormat="1" applyFont="1" applyFill="1" applyBorder="1" applyAlignment="1">
      <alignment horizontal="center" vertical="center" wrapText="1"/>
    </xf>
    <xf numFmtId="0" fontId="39" fillId="0" borderId="19" xfId="0" applyNumberFormat="1" applyFont="1" applyFill="1" applyBorder="1" applyAlignment="1">
      <alignment horizontal="center" vertical="center" wrapText="1"/>
    </xf>
    <xf numFmtId="0" fontId="12" fillId="0" borderId="18" xfId="0" applyNumberFormat="1" applyFont="1" applyBorder="1" applyAlignment="1">
      <alignment horizontal="center" vertical="center" wrapText="1"/>
    </xf>
    <xf numFmtId="0" fontId="12" fillId="0" borderId="25" xfId="0" applyNumberFormat="1" applyFont="1" applyBorder="1" applyAlignment="1">
      <alignment horizontal="center" vertical="center" wrapText="1"/>
    </xf>
    <xf numFmtId="0" fontId="12" fillId="0" borderId="30" xfId="0" applyNumberFormat="1" applyFont="1" applyBorder="1" applyAlignment="1">
      <alignment horizontal="center" vertical="center" wrapText="1"/>
    </xf>
    <xf numFmtId="0" fontId="12" fillId="0" borderId="29" xfId="0" applyNumberFormat="1" applyFont="1" applyBorder="1" applyAlignment="1">
      <alignment horizontal="center" vertical="center" wrapText="1"/>
    </xf>
    <xf numFmtId="0" fontId="24" fillId="0" borderId="0" xfId="0" applyNumberFormat="1" applyFont="1" applyBorder="1" applyAlignment="1">
      <alignment horizontal="center" wrapText="1"/>
    </xf>
    <xf numFmtId="0" fontId="28" fillId="0" borderId="10" xfId="0" applyNumberFormat="1" applyFont="1" applyBorder="1" applyAlignment="1">
      <alignment horizontal="center" vertical="center" wrapText="1"/>
    </xf>
    <xf numFmtId="0" fontId="12" fillId="0" borderId="19" xfId="0" applyNumberFormat="1" applyFont="1" applyFill="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28" xfId="0" applyNumberFormat="1" applyFont="1" applyBorder="1" applyAlignment="1">
      <alignment horizontal="center" vertical="center" wrapText="1"/>
    </xf>
    <xf numFmtId="0" fontId="12" fillId="0" borderId="19" xfId="0" applyNumberFormat="1" applyFont="1" applyBorder="1" applyAlignment="1">
      <alignment horizontal="center" vertical="center" wrapText="1"/>
    </xf>
    <xf numFmtId="0" fontId="10" fillId="20" borderId="11" xfId="0" applyNumberFormat="1" applyFont="1" applyFill="1" applyBorder="1" applyAlignment="1">
      <alignment horizontal="center" vertical="center"/>
    </xf>
    <xf numFmtId="0" fontId="10" fillId="20" borderId="19" xfId="0" applyNumberFormat="1" applyFont="1" applyFill="1" applyBorder="1" applyAlignment="1">
      <alignment horizontal="center" vertical="center"/>
    </xf>
    <xf numFmtId="0" fontId="36" fillId="0" borderId="0" xfId="0" applyNumberFormat="1" applyFont="1" applyBorder="1" applyAlignment="1">
      <alignment horizontal="left" wrapText="1"/>
    </xf>
    <xf numFmtId="0" fontId="0" fillId="0" borderId="0" xfId="0" applyNumberFormat="1" applyFont="1" applyAlignment="1">
      <alignment horizontal="center" wrapText="1"/>
    </xf>
    <xf numFmtId="0" fontId="0" fillId="25" borderId="0" xfId="0" applyNumberFormat="1" applyFont="1" applyFill="1" applyBorder="1" applyAlignment="1">
      <alignment horizontal="left"/>
    </xf>
    <xf numFmtId="0" fontId="10" fillId="0" borderId="0" xfId="0" applyNumberFormat="1" applyFont="1" applyBorder="1" applyAlignment="1">
      <alignment horizontal="left" wrapText="1"/>
    </xf>
    <xf numFmtId="0" fontId="0" fillId="0" borderId="0" xfId="0" applyNumberFormat="1" applyFont="1" applyBorder="1" applyAlignment="1">
      <alignment horizontal="left" wrapText="1"/>
    </xf>
    <xf numFmtId="0" fontId="0" fillId="0" borderId="0" xfId="0" applyNumberFormat="1" applyFont="1" applyAlignment="1">
      <alignment horizontal="left"/>
    </xf>
    <xf numFmtId="0" fontId="24" fillId="25" borderId="0" xfId="0" applyNumberFormat="1" applyFont="1" applyFill="1" applyAlignment="1">
      <alignment horizontal="center" vertical="center" wrapText="1"/>
    </xf>
    <xf numFmtId="0" fontId="10" fillId="0" borderId="0" xfId="0" applyNumberFormat="1" applyFont="1" applyFill="1" applyAlignment="1">
      <alignment horizontal="center" vertical="center"/>
    </xf>
    <xf numFmtId="0" fontId="32" fillId="0" borderId="30" xfId="0" applyNumberFormat="1" applyFont="1" applyBorder="1" applyAlignment="1">
      <alignment horizontal="left"/>
    </xf>
    <xf numFmtId="0" fontId="32" fillId="0" borderId="0" xfId="0" applyNumberFormat="1" applyFont="1" applyBorder="1" applyAlignment="1">
      <alignment horizontal="left"/>
    </xf>
    <xf numFmtId="0" fontId="14" fillId="25" borderId="18" xfId="0" applyNumberFormat="1" applyFont="1" applyFill="1" applyBorder="1" applyAlignment="1">
      <alignment horizontal="center" vertical="center" wrapText="1"/>
    </xf>
    <xf numFmtId="0" fontId="14" fillId="25" borderId="15" xfId="0" applyNumberFormat="1" applyFont="1" applyFill="1" applyBorder="1" applyAlignment="1">
      <alignment horizontal="center" vertical="center" wrapText="1"/>
    </xf>
    <xf numFmtId="0" fontId="14" fillId="25" borderId="25" xfId="0" applyNumberFormat="1" applyFont="1" applyFill="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25" xfId="0" applyNumberFormat="1" applyFont="1" applyBorder="1" applyAlignment="1">
      <alignment horizontal="center" vertical="center" wrapText="1"/>
    </xf>
    <xf numFmtId="0" fontId="14" fillId="0" borderId="30" xfId="0" applyNumberFormat="1" applyFont="1" applyBorder="1" applyAlignment="1">
      <alignment horizontal="center" vertical="center" wrapText="1"/>
    </xf>
    <xf numFmtId="0" fontId="14" fillId="0" borderId="29"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14" fillId="25" borderId="22" xfId="0" applyNumberFormat="1" applyFont="1" applyFill="1" applyBorder="1" applyAlignment="1">
      <alignment horizontal="center" vertical="center" wrapText="1"/>
    </xf>
    <xf numFmtId="0" fontId="14" fillId="25" borderId="13" xfId="0" applyNumberFormat="1" applyFont="1" applyFill="1" applyBorder="1" applyAlignment="1">
      <alignment horizontal="center" vertical="center" wrapText="1"/>
    </xf>
    <xf numFmtId="0" fontId="14" fillId="25" borderId="14" xfId="0" applyNumberFormat="1" applyFont="1" applyFill="1" applyBorder="1" applyAlignment="1">
      <alignment horizontal="center" vertical="center" wrapText="1"/>
    </xf>
    <xf numFmtId="0" fontId="15" fillId="20" borderId="11" xfId="0" applyNumberFormat="1" applyFont="1" applyFill="1" applyBorder="1" applyAlignment="1" applyProtection="1">
      <alignment horizontal="center" vertical="center" wrapText="1"/>
      <protection/>
    </xf>
    <xf numFmtId="0" fontId="15" fillId="20" borderId="19" xfId="0" applyNumberFormat="1" applyFont="1" applyFill="1" applyBorder="1" applyAlignment="1" applyProtection="1">
      <alignment horizontal="center" vertical="center" wrapText="1"/>
      <protection/>
    </xf>
    <xf numFmtId="0" fontId="40" fillId="25" borderId="14" xfId="0" applyNumberFormat="1" applyFont="1" applyFill="1" applyBorder="1" applyAlignment="1" applyProtection="1">
      <alignment horizontal="center" vertical="center" wrapText="1"/>
      <protection/>
    </xf>
    <xf numFmtId="0" fontId="40" fillId="25" borderId="13" xfId="0" applyNumberFormat="1" applyFont="1" applyFill="1" applyBorder="1" applyAlignment="1" applyProtection="1">
      <alignment horizontal="center" vertical="center" wrapText="1"/>
      <protection/>
    </xf>
    <xf numFmtId="0" fontId="17" fillId="25" borderId="14" xfId="0" applyNumberFormat="1" applyFont="1" applyFill="1" applyBorder="1" applyAlignment="1" applyProtection="1">
      <alignment horizontal="center" vertical="center" wrapText="1"/>
      <protection/>
    </xf>
    <xf numFmtId="0" fontId="17" fillId="25" borderId="13" xfId="0" applyNumberFormat="1" applyFont="1" applyFill="1" applyBorder="1" applyAlignment="1" applyProtection="1">
      <alignment horizontal="center" vertical="center" wrapText="1"/>
      <protection/>
    </xf>
    <xf numFmtId="0" fontId="40" fillId="25" borderId="14" xfId="0" applyNumberFormat="1" applyFont="1" applyFill="1" applyBorder="1" applyAlignment="1">
      <alignment horizontal="center" vertical="center" wrapText="1"/>
    </xf>
    <xf numFmtId="0" fontId="40" fillId="25" borderId="13" xfId="0" applyNumberFormat="1" applyFont="1" applyFill="1" applyBorder="1" applyAlignment="1">
      <alignment horizontal="center" vertical="center" wrapText="1"/>
    </xf>
    <xf numFmtId="0" fontId="10" fillId="0" borderId="0" xfId="0" applyNumberFormat="1" applyFont="1" applyAlignment="1">
      <alignment horizontal="center" vertical="center"/>
    </xf>
    <xf numFmtId="0" fontId="14" fillId="0" borderId="13"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30" fillId="0" borderId="20" xfId="0" applyNumberFormat="1" applyFont="1" applyBorder="1" applyAlignment="1">
      <alignment horizontal="center"/>
    </xf>
    <xf numFmtId="0" fontId="33" fillId="25" borderId="11" xfId="0" applyNumberFormat="1" applyFont="1" applyFill="1" applyBorder="1" applyAlignment="1" applyProtection="1">
      <alignment horizontal="center" vertical="center" wrapText="1"/>
      <protection/>
    </xf>
    <xf numFmtId="0" fontId="33" fillId="25" borderId="19" xfId="0" applyNumberFormat="1" applyFont="1" applyFill="1" applyBorder="1" applyAlignment="1" applyProtection="1">
      <alignment horizontal="center" vertical="center" wrapText="1"/>
      <protection/>
    </xf>
    <xf numFmtId="0" fontId="14" fillId="25" borderId="11" xfId="0" applyNumberFormat="1" applyFont="1" applyFill="1" applyBorder="1" applyAlignment="1">
      <alignment horizontal="center" vertical="center" wrapText="1"/>
    </xf>
    <xf numFmtId="0" fontId="14" fillId="25" borderId="28" xfId="0" applyNumberFormat="1" applyFont="1" applyFill="1" applyBorder="1" applyAlignment="1">
      <alignment horizontal="center" vertical="center" wrapText="1"/>
    </xf>
    <xf numFmtId="0" fontId="14" fillId="25" borderId="19" xfId="0" applyNumberFormat="1" applyFont="1" applyFill="1" applyBorder="1" applyAlignment="1">
      <alignment horizontal="center" vertical="center" wrapText="1"/>
    </xf>
    <xf numFmtId="0" fontId="12" fillId="0" borderId="0" xfId="0" applyNumberFormat="1" applyFont="1" applyAlignment="1">
      <alignment horizontal="left"/>
    </xf>
    <xf numFmtId="0" fontId="17" fillId="25" borderId="10" xfId="0" applyNumberFormat="1" applyFont="1" applyFill="1" applyBorder="1" applyAlignment="1" applyProtection="1">
      <alignment horizontal="center" vertical="center" wrapText="1"/>
      <protection/>
    </xf>
    <xf numFmtId="0" fontId="10" fillId="0" borderId="0" xfId="0" applyNumberFormat="1" applyFont="1" applyBorder="1" applyAlignment="1">
      <alignment horizontal="center"/>
    </xf>
    <xf numFmtId="0" fontId="14" fillId="25" borderId="14" xfId="0" applyNumberFormat="1" applyFont="1" applyFill="1" applyBorder="1" applyAlignment="1" applyProtection="1">
      <alignment horizontal="center" vertical="center" wrapText="1"/>
      <protection/>
    </xf>
    <xf numFmtId="0" fontId="14" fillId="25" borderId="13" xfId="0" applyNumberFormat="1" applyFont="1" applyFill="1" applyBorder="1" applyAlignment="1" applyProtection="1">
      <alignment horizontal="center" vertical="center" wrapText="1"/>
      <protection/>
    </xf>
    <xf numFmtId="0" fontId="14" fillId="25" borderId="16" xfId="0" applyNumberFormat="1" applyFont="1" applyFill="1" applyBorder="1" applyAlignment="1">
      <alignment horizontal="center" vertical="center" wrapText="1"/>
    </xf>
    <xf numFmtId="0" fontId="14" fillId="25" borderId="21" xfId="0" applyNumberFormat="1" applyFont="1" applyFill="1" applyBorder="1" applyAlignment="1">
      <alignment horizontal="center" vertical="center" wrapText="1"/>
    </xf>
    <xf numFmtId="0" fontId="14" fillId="25" borderId="18" xfId="0" applyNumberFormat="1" applyFont="1" applyFill="1" applyBorder="1" applyAlignment="1" applyProtection="1">
      <alignment horizontal="center" vertical="center" wrapText="1"/>
      <protection/>
    </xf>
    <xf numFmtId="0" fontId="14" fillId="25" borderId="30" xfId="0" applyNumberFormat="1" applyFont="1" applyFill="1" applyBorder="1" applyAlignment="1" applyProtection="1">
      <alignment horizontal="center" vertical="center" wrapText="1"/>
      <protection/>
    </xf>
    <xf numFmtId="0" fontId="14" fillId="25" borderId="16" xfId="0" applyNumberFormat="1" applyFont="1" applyFill="1" applyBorder="1" applyAlignment="1" applyProtection="1">
      <alignment horizontal="center" vertical="center" wrapText="1"/>
      <protection/>
    </xf>
    <xf numFmtId="0" fontId="24" fillId="25" borderId="0" xfId="0" applyNumberFormat="1" applyFont="1" applyFill="1" applyAlignment="1">
      <alignment horizontal="center"/>
    </xf>
    <xf numFmtId="0" fontId="51" fillId="25" borderId="14" xfId="0" applyNumberFormat="1" applyFont="1" applyFill="1" applyBorder="1" applyAlignment="1" applyProtection="1">
      <alignment horizontal="center" vertical="center" wrapText="1"/>
      <protection/>
    </xf>
    <xf numFmtId="0" fontId="51" fillId="25" borderId="13" xfId="0" applyNumberFormat="1" applyFont="1" applyFill="1" applyBorder="1" applyAlignment="1" applyProtection="1">
      <alignment horizontal="center" vertical="center" wrapText="1"/>
      <protection/>
    </xf>
    <xf numFmtId="0" fontId="14" fillId="25" borderId="11" xfId="0" applyNumberFormat="1" applyFont="1" applyFill="1" applyBorder="1" applyAlignment="1" applyProtection="1">
      <alignment horizontal="center" vertical="center" wrapText="1"/>
      <protection/>
    </xf>
    <xf numFmtId="0" fontId="14" fillId="25" borderId="28" xfId="0" applyNumberFormat="1" applyFont="1" applyFill="1" applyBorder="1" applyAlignment="1" applyProtection="1">
      <alignment horizontal="center" vertical="center" wrapText="1"/>
      <protection/>
    </xf>
    <xf numFmtId="0" fontId="14" fillId="25" borderId="19" xfId="0" applyNumberFormat="1" applyFont="1" applyFill="1" applyBorder="1" applyAlignment="1" applyProtection="1">
      <alignment horizontal="center" vertical="center" wrapText="1"/>
      <protection/>
    </xf>
    <xf numFmtId="0" fontId="23" fillId="0" borderId="0" xfId="0" applyNumberFormat="1" applyFont="1" applyAlignment="1">
      <alignment horizontal="left"/>
    </xf>
    <xf numFmtId="0" fontId="10" fillId="25" borderId="0" xfId="0" applyNumberFormat="1" applyFont="1" applyFill="1" applyAlignment="1">
      <alignment horizontal="center"/>
    </xf>
    <xf numFmtId="0" fontId="23" fillId="24" borderId="0" xfId="0" applyNumberFormat="1" applyFont="1" applyFill="1" applyAlignment="1">
      <alignment horizontal="left"/>
    </xf>
    <xf numFmtId="0" fontId="23" fillId="0" borderId="0" xfId="0" applyNumberFormat="1" applyFont="1" applyAlignment="1">
      <alignment horizontal="left" wrapText="1"/>
    </xf>
    <xf numFmtId="0" fontId="16" fillId="0" borderId="0" xfId="0" applyNumberFormat="1" applyFont="1" applyAlignment="1">
      <alignment horizontal="center" wrapText="1"/>
    </xf>
    <xf numFmtId="0" fontId="36" fillId="0" borderId="0" xfId="0" applyNumberFormat="1" applyFont="1" applyBorder="1" applyAlignment="1">
      <alignment horizontal="center" vertical="center"/>
    </xf>
    <xf numFmtId="0" fontId="41" fillId="0" borderId="10" xfId="0" applyNumberFormat="1" applyFont="1" applyFill="1" applyBorder="1" applyAlignment="1">
      <alignment horizontal="center" vertical="center" wrapText="1"/>
    </xf>
    <xf numFmtId="0" fontId="41" fillId="0" borderId="10" xfId="0" applyNumberFormat="1" applyFont="1" applyFill="1" applyBorder="1" applyAlignment="1" applyProtection="1">
      <alignment horizontal="center" vertical="center" wrapText="1"/>
      <protection/>
    </xf>
    <xf numFmtId="0" fontId="24" fillId="0" borderId="0" xfId="0" applyNumberFormat="1" applyFont="1" applyBorder="1" applyAlignment="1">
      <alignment horizontal="center" vertical="center"/>
    </xf>
    <xf numFmtId="0" fontId="41" fillId="0" borderId="11" xfId="0" applyNumberFormat="1" applyFont="1" applyFill="1" applyBorder="1" applyAlignment="1">
      <alignment horizontal="center" vertical="center" wrapText="1"/>
    </xf>
    <xf numFmtId="0" fontId="41" fillId="0" borderId="28" xfId="0" applyNumberFormat="1" applyFont="1" applyFill="1" applyBorder="1" applyAlignment="1">
      <alignment horizontal="center" vertical="center" wrapText="1"/>
    </xf>
    <xf numFmtId="0" fontId="41" fillId="0" borderId="19" xfId="0" applyNumberFormat="1" applyFont="1" applyFill="1" applyBorder="1" applyAlignment="1">
      <alignment horizontal="center" vertical="center" wrapText="1"/>
    </xf>
    <xf numFmtId="0" fontId="41" fillId="0" borderId="14" xfId="0" applyNumberFormat="1" applyFont="1" applyFill="1" applyBorder="1" applyAlignment="1" applyProtection="1">
      <alignment horizontal="center" vertical="center" wrapText="1"/>
      <protection/>
    </xf>
    <xf numFmtId="0" fontId="41" fillId="0" borderId="22" xfId="0" applyNumberFormat="1" applyFont="1" applyFill="1" applyBorder="1" applyAlignment="1">
      <alignment horizontal="center" vertical="center" wrapText="1"/>
    </xf>
    <xf numFmtId="0" fontId="41" fillId="0" borderId="13"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0" fontId="41" fillId="0" borderId="18" xfId="0" applyNumberFormat="1" applyFont="1" applyFill="1" applyBorder="1" applyAlignment="1">
      <alignment horizontal="center" vertical="center" wrapText="1"/>
    </xf>
    <xf numFmtId="0" fontId="41" fillId="0" borderId="15" xfId="0" applyNumberFormat="1" applyFont="1" applyFill="1" applyBorder="1" applyAlignment="1">
      <alignment horizontal="center" vertical="center" wrapText="1"/>
    </xf>
    <xf numFmtId="0" fontId="41" fillId="0" borderId="25" xfId="0" applyNumberFormat="1" applyFont="1" applyFill="1" applyBorder="1" applyAlignment="1">
      <alignment horizontal="center" vertical="center" wrapText="1"/>
    </xf>
    <xf numFmtId="0" fontId="42" fillId="0" borderId="10" xfId="0" applyNumberFormat="1" applyFont="1" applyFill="1" applyBorder="1" applyAlignment="1" applyProtection="1">
      <alignment horizontal="center" vertical="center" wrapText="1"/>
      <protection/>
    </xf>
    <xf numFmtId="0" fontId="42" fillId="0" borderId="14" xfId="0" applyNumberFormat="1" applyFont="1" applyFill="1" applyBorder="1" applyAlignment="1">
      <alignment horizontal="center" vertical="center" wrapText="1"/>
    </xf>
    <xf numFmtId="0" fontId="42" fillId="0" borderId="13" xfId="0" applyNumberFormat="1" applyFont="1" applyFill="1" applyBorder="1" applyAlignment="1">
      <alignment horizontal="center" vertical="center" wrapText="1"/>
    </xf>
    <xf numFmtId="0" fontId="4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1" xfId="0" applyNumberFormat="1" applyFont="1" applyBorder="1" applyAlignment="1">
      <alignment horizontal="center" vertical="center" wrapText="1"/>
    </xf>
    <xf numFmtId="0" fontId="41" fillId="0" borderId="11" xfId="0" applyNumberFormat="1" applyFont="1" applyFill="1" applyBorder="1" applyAlignment="1" applyProtection="1">
      <alignment horizontal="center" vertical="center" wrapText="1"/>
      <protection/>
    </xf>
    <xf numFmtId="0" fontId="41" fillId="0" borderId="18" xfId="0" applyNumberFormat="1" applyFont="1" applyFill="1" applyBorder="1" applyAlignment="1" applyProtection="1">
      <alignment horizontal="center" vertical="center" wrapText="1"/>
      <protection/>
    </xf>
    <xf numFmtId="0" fontId="41" fillId="0" borderId="16" xfId="0" applyNumberFormat="1" applyFont="1" applyFill="1" applyBorder="1" applyAlignment="1">
      <alignment horizontal="center" vertical="center" wrapText="1"/>
    </xf>
    <xf numFmtId="0" fontId="41" fillId="0" borderId="21" xfId="0" applyNumberFormat="1" applyFont="1" applyFill="1" applyBorder="1" applyAlignment="1">
      <alignment horizontal="center" vertical="center" wrapText="1"/>
    </xf>
    <xf numFmtId="0" fontId="16" fillId="0" borderId="0" xfId="0" applyNumberFormat="1" applyFont="1" applyBorder="1" applyAlignment="1">
      <alignment horizontal="left" wrapText="1"/>
    </xf>
    <xf numFmtId="0" fontId="15" fillId="0" borderId="0" xfId="0" applyNumberFormat="1" applyFont="1" applyBorder="1" applyAlignment="1">
      <alignment horizontal="left" vertical="center" wrapText="1"/>
    </xf>
    <xf numFmtId="0" fontId="24" fillId="0" borderId="0" xfId="0" applyNumberFormat="1" applyFont="1" applyFill="1" applyAlignment="1">
      <alignment horizontal="center" wrapText="1"/>
    </xf>
    <xf numFmtId="0" fontId="10" fillId="0" borderId="0" xfId="0" applyNumberFormat="1" applyFont="1" applyAlignment="1">
      <alignment horizontal="center"/>
    </xf>
    <xf numFmtId="0" fontId="31" fillId="0" borderId="0" xfId="0" applyNumberFormat="1" applyFont="1" applyBorder="1" applyAlignment="1">
      <alignment horizontal="left" wrapText="1"/>
    </xf>
    <xf numFmtId="0" fontId="31" fillId="24" borderId="0" xfId="0" applyNumberFormat="1" applyFont="1" applyFill="1" applyBorder="1" applyAlignment="1">
      <alignment horizontal="left" wrapText="1"/>
    </xf>
    <xf numFmtId="0" fontId="12" fillId="0" borderId="15"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2" fillId="0" borderId="0" xfId="0" applyNumberFormat="1" applyFont="1" applyAlignment="1">
      <alignment horizontal="left"/>
    </xf>
    <xf numFmtId="0" fontId="12" fillId="0" borderId="14" xfId="0" applyNumberFormat="1" applyFont="1" applyBorder="1" applyAlignment="1">
      <alignment horizontal="center" vertical="center" wrapText="1"/>
    </xf>
    <xf numFmtId="0" fontId="12" fillId="0" borderId="22"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0" fillId="0" borderId="0" xfId="0" applyNumberFormat="1" applyFont="1" applyAlignment="1">
      <alignment horizontal="left"/>
    </xf>
    <xf numFmtId="0" fontId="12" fillId="0" borderId="0" xfId="0" applyNumberFormat="1" applyFont="1" applyBorder="1" applyAlignment="1">
      <alignment horizontal="left" wrapText="1"/>
    </xf>
    <xf numFmtId="0" fontId="36" fillId="0" borderId="15" xfId="0" applyNumberFormat="1" applyFont="1" applyBorder="1" applyAlignment="1">
      <alignment horizontal="center" wrapText="1"/>
    </xf>
    <xf numFmtId="0" fontId="24" fillId="0" borderId="15" xfId="0" applyNumberFormat="1" applyFont="1" applyBorder="1" applyAlignment="1">
      <alignment horizontal="center" wrapText="1"/>
    </xf>
    <xf numFmtId="0" fontId="34" fillId="0" borderId="11" xfId="0" applyNumberFormat="1" applyFont="1" applyBorder="1" applyAlignment="1">
      <alignment horizontal="center"/>
    </xf>
    <xf numFmtId="0" fontId="34" fillId="0" borderId="19" xfId="0" applyNumberFormat="1" applyFont="1" applyBorder="1" applyAlignment="1">
      <alignment horizontal="center"/>
    </xf>
    <xf numFmtId="0" fontId="0" fillId="0" borderId="11" xfId="0" applyNumberFormat="1" applyFont="1" applyBorder="1" applyAlignment="1">
      <alignment horizontal="center"/>
    </xf>
    <xf numFmtId="0" fontId="0" fillId="0" borderId="19" xfId="0" applyNumberFormat="1" applyFont="1" applyBorder="1" applyAlignment="1">
      <alignment horizontal="center"/>
    </xf>
    <xf numFmtId="0" fontId="10" fillId="0" borderId="0" xfId="0" applyNumberFormat="1" applyFont="1" applyBorder="1" applyAlignment="1">
      <alignment horizontal="center" wrapText="1"/>
    </xf>
    <xf numFmtId="0" fontId="33" fillId="0" borderId="11" xfId="0" applyNumberFormat="1" applyFont="1" applyBorder="1" applyAlignment="1">
      <alignment horizontal="center" wrapText="1"/>
    </xf>
    <xf numFmtId="0" fontId="33" fillId="0" borderId="19" xfId="0" applyNumberFormat="1" applyFont="1" applyBorder="1" applyAlignment="1">
      <alignment horizontal="center" wrapText="1"/>
    </xf>
    <xf numFmtId="0" fontId="11" fillId="0" borderId="11" xfId="0" applyNumberFormat="1" applyFont="1" applyBorder="1" applyAlignment="1">
      <alignment horizontal="center" vertical="center" wrapText="1"/>
    </xf>
    <xf numFmtId="0" fontId="11" fillId="0" borderId="28"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2" fillId="0" borderId="12" xfId="0" applyNumberFormat="1" applyFont="1" applyBorder="1" applyAlignment="1">
      <alignment horizontal="center" vertical="center" wrapText="1"/>
    </xf>
    <xf numFmtId="0" fontId="4" fillId="0" borderId="0" xfId="0" applyNumberFormat="1" applyFont="1" applyBorder="1" applyAlignment="1">
      <alignment horizontal="center"/>
    </xf>
    <xf numFmtId="0" fontId="28" fillId="0" borderId="15" xfId="0" applyNumberFormat="1" applyFont="1" applyBorder="1" applyAlignment="1">
      <alignment horizontal="left"/>
    </xf>
    <xf numFmtId="0" fontId="23" fillId="0" borderId="15" xfId="0" applyNumberFormat="1" applyFont="1" applyBorder="1" applyAlignment="1">
      <alignment horizontal="left"/>
    </xf>
    <xf numFmtId="0" fontId="5" fillId="0" borderId="0" xfId="0" applyNumberFormat="1" applyFont="1" applyBorder="1" applyAlignment="1">
      <alignment horizontal="right"/>
    </xf>
    <xf numFmtId="0" fontId="12" fillId="0" borderId="12" xfId="0" applyNumberFormat="1" applyFont="1" applyBorder="1" applyAlignment="1">
      <alignment horizontal="left" wrapText="1"/>
    </xf>
    <xf numFmtId="49" fontId="28" fillId="0" borderId="0" xfId="0" applyNumberFormat="1" applyFont="1" applyAlignment="1">
      <alignment horizontal="left"/>
    </xf>
    <xf numFmtId="0" fontId="24" fillId="0" borderId="0" xfId="0" applyFont="1" applyBorder="1" applyAlignment="1">
      <alignment horizontal="center" wrapText="1"/>
    </xf>
    <xf numFmtId="0" fontId="24" fillId="0" borderId="0" xfId="0" applyFont="1" applyBorder="1" applyAlignment="1">
      <alignment horizontal="center"/>
    </xf>
    <xf numFmtId="0" fontId="36" fillId="0" borderId="15" xfId="0" applyFont="1" applyBorder="1" applyAlignment="1">
      <alignment horizontal="center" wrapText="1"/>
    </xf>
    <xf numFmtId="0" fontId="34" fillId="0" borderId="18" xfId="0" applyFont="1" applyBorder="1" applyAlignment="1">
      <alignment horizontal="center"/>
    </xf>
    <xf numFmtId="0" fontId="34" fillId="0" borderId="25" xfId="0" applyFont="1" applyBorder="1" applyAlignment="1">
      <alignment horizontal="center"/>
    </xf>
    <xf numFmtId="0" fontId="0" fillId="0" borderId="18" xfId="0" applyFont="1" applyBorder="1" applyAlignment="1">
      <alignment horizontal="center"/>
    </xf>
    <xf numFmtId="0" fontId="0" fillId="0" borderId="25" xfId="0" applyFont="1" applyBorder="1" applyAlignment="1">
      <alignment horizontal="center"/>
    </xf>
    <xf numFmtId="0" fontId="14" fillId="0" borderId="14"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28" fillId="0" borderId="0" xfId="0" applyNumberFormat="1" applyFont="1" applyBorder="1" applyAlignment="1">
      <alignment horizontal="center" wrapText="1"/>
    </xf>
    <xf numFmtId="0" fontId="30" fillId="0" borderId="0" xfId="0" applyNumberFormat="1" applyFont="1" applyAlignment="1">
      <alignment horizontal="left"/>
    </xf>
    <xf numFmtId="0" fontId="30" fillId="24" borderId="0" xfId="0" applyNumberFormat="1" applyFont="1" applyFill="1" applyAlignment="1">
      <alignment horizontal="left"/>
    </xf>
    <xf numFmtId="0" fontId="30" fillId="0" borderId="11" xfId="0" applyNumberFormat="1" applyFont="1" applyBorder="1" applyAlignment="1">
      <alignment horizontal="center" vertical="justify"/>
    </xf>
    <xf numFmtId="0" fontId="30" fillId="0" borderId="19" xfId="0" applyNumberFormat="1" applyFont="1" applyBorder="1" applyAlignment="1">
      <alignment horizontal="center" vertical="justify"/>
    </xf>
    <xf numFmtId="0" fontId="28" fillId="0" borderId="0" xfId="0" applyNumberFormat="1" applyFont="1" applyAlignment="1">
      <alignment horizontal="left"/>
    </xf>
    <xf numFmtId="0" fontId="33" fillId="0" borderId="15" xfId="0" applyNumberFormat="1" applyFont="1" applyBorder="1" applyAlignment="1">
      <alignment horizontal="left"/>
    </xf>
    <xf numFmtId="0" fontId="31" fillId="0" borderId="15" xfId="0" applyNumberFormat="1" applyFont="1" applyBorder="1" applyAlignment="1">
      <alignment horizontal="left"/>
    </xf>
    <xf numFmtId="0" fontId="12" fillId="0" borderId="12" xfId="0" applyNumberFormat="1" applyFont="1" applyFill="1" applyBorder="1" applyAlignment="1">
      <alignment horizontal="left" wrapText="1"/>
    </xf>
    <xf numFmtId="0" fontId="11" fillId="0" borderId="0" xfId="0" applyNumberFormat="1" applyFont="1" applyAlignment="1">
      <alignment horizontal="left"/>
    </xf>
    <xf numFmtId="0" fontId="0" fillId="0" borderId="0" xfId="0" applyNumberFormat="1" applyFont="1" applyAlignment="1">
      <alignment/>
    </xf>
    <xf numFmtId="0" fontId="12" fillId="0" borderId="0" xfId="0" applyNumberFormat="1" applyFont="1" applyBorder="1" applyAlignment="1">
      <alignment horizontal="center" vertical="center" wrapText="1"/>
    </xf>
    <xf numFmtId="0" fontId="12" fillId="0" borderId="0" xfId="0" applyNumberFormat="1" applyFont="1" applyBorder="1" applyAlignment="1">
      <alignment horizontal="left"/>
    </xf>
    <xf numFmtId="0" fontId="8" fillId="0" borderId="0" xfId="0" applyNumberFormat="1" applyFont="1" applyAlignment="1">
      <alignment horizontal="left"/>
    </xf>
    <xf numFmtId="0" fontId="5" fillId="0" borderId="0" xfId="0" applyNumberFormat="1" applyFont="1" applyBorder="1" applyAlignment="1">
      <alignment horizontal="center"/>
    </xf>
    <xf numFmtId="0" fontId="2" fillId="0" borderId="0" xfId="0" applyNumberFormat="1" applyFont="1" applyBorder="1" applyAlignment="1">
      <alignment horizontal="center"/>
    </xf>
    <xf numFmtId="0" fontId="33" fillId="0" borderId="11" xfId="0" applyNumberFormat="1" applyFont="1" applyBorder="1" applyAlignment="1">
      <alignment horizontal="center"/>
    </xf>
    <xf numFmtId="0" fontId="33" fillId="0" borderId="19" xfId="0" applyNumberFormat="1" applyFont="1" applyBorder="1" applyAlignment="1">
      <alignment horizontal="center"/>
    </xf>
    <xf numFmtId="0" fontId="3" fillId="0" borderId="0" xfId="0" applyNumberFormat="1" applyFont="1" applyBorder="1" applyAlignment="1">
      <alignment horizontal="center"/>
    </xf>
    <xf numFmtId="0" fontId="5" fillId="0" borderId="0" xfId="0" applyNumberFormat="1" applyFont="1" applyBorder="1" applyAlignment="1">
      <alignment horizontal="left"/>
    </xf>
    <xf numFmtId="2" fontId="69" fillId="0" borderId="0" xfId="0" applyNumberFormat="1"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ieu mau TK tu 11 den 19 (ban phat hanh)" xfId="57"/>
    <cellStyle name="Note" xfId="58"/>
    <cellStyle name="Output" xfId="59"/>
    <cellStyle name="Percent" xfId="60"/>
    <cellStyle name="Title" xfId="61"/>
    <cellStyle name="Total" xfId="62"/>
    <cellStyle name="Warning Text" xfId="63"/>
  </cellStyles>
  <dxfs count="1">
    <dxf>
      <fill>
        <patternFill>
          <bgColor indexed="5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400300" y="2286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75438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75438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4782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64782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twoCellAnchor>
    <xdr:from>
      <xdr:col>1</xdr:col>
      <xdr:colOff>0</xdr:colOff>
      <xdr:row>28</xdr:row>
      <xdr:rowOff>0</xdr:rowOff>
    </xdr:from>
    <xdr:to>
      <xdr:col>1</xdr:col>
      <xdr:colOff>1457325</xdr:colOff>
      <xdr:row>28</xdr:row>
      <xdr:rowOff>0</xdr:rowOff>
    </xdr:to>
    <xdr:sp>
      <xdr:nvSpPr>
        <xdr:cNvPr id="3" name="Line 4"/>
        <xdr:cNvSpPr>
          <a:spLocks/>
        </xdr:cNvSpPr>
      </xdr:nvSpPr>
      <xdr:spPr>
        <a:xfrm>
          <a:off x="371475" y="6048375"/>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590550"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238125"/>
    <xdr:sp>
      <xdr:nvSpPr>
        <xdr:cNvPr id="1" name="Text Box 7"/>
        <xdr:cNvSpPr txBox="1">
          <a:spLocks noChangeArrowheads="1"/>
        </xdr:cNvSpPr>
      </xdr:nvSpPr>
      <xdr:spPr>
        <a:xfrm>
          <a:off x="323850" y="7229475"/>
          <a:ext cx="857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27</xdr:row>
      <xdr:rowOff>0</xdr:rowOff>
    </xdr:from>
    <xdr:to>
      <xdr:col>1</xdr:col>
      <xdr:colOff>1457325</xdr:colOff>
      <xdr:row>27</xdr:row>
      <xdr:rowOff>0</xdr:rowOff>
    </xdr:to>
    <xdr:sp>
      <xdr:nvSpPr>
        <xdr:cNvPr id="2" name="Line 39"/>
        <xdr:cNvSpPr>
          <a:spLocks/>
        </xdr:cNvSpPr>
      </xdr:nvSpPr>
      <xdr:spPr>
        <a:xfrm>
          <a:off x="285750" y="6696075"/>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38</xdr:row>
      <xdr:rowOff>0</xdr:rowOff>
    </xdr:from>
    <xdr:ext cx="85725" cy="228600"/>
    <xdr:sp>
      <xdr:nvSpPr>
        <xdr:cNvPr id="1" name="Text Box 1"/>
        <xdr:cNvSpPr txBox="1">
          <a:spLocks noChangeArrowheads="1"/>
        </xdr:cNvSpPr>
      </xdr:nvSpPr>
      <xdr:spPr>
        <a:xfrm>
          <a:off x="476250" y="7505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71475" y="0"/>
          <a:ext cx="2247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47650"/>
    <xdr:sp>
      <xdr:nvSpPr>
        <xdr:cNvPr id="2" name="Text Box 7"/>
        <xdr:cNvSpPr txBox="1">
          <a:spLocks noChangeArrowheads="1"/>
        </xdr:cNvSpPr>
      </xdr:nvSpPr>
      <xdr:spPr>
        <a:xfrm>
          <a:off x="1504950" y="476250"/>
          <a:ext cx="95250"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57300" y="0"/>
          <a:ext cx="5619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900" b="0" i="0" u="none" baseline="0">
              <a:solidFill>
                <a:srgbClr val="000000"/>
              </a:solidFill>
              <a:latin typeface="Arial"/>
              <a:ea typeface="Arial"/>
              <a:cs typeface="Arial"/>
            </a:rPr>
            <a:t>§èi t­îng 
</a:t>
          </a:r>
          <a:r>
            <a:rPr lang="en-US" cap="none" sz="900" b="0" i="0" u="none" baseline="0">
              <a:solidFill>
                <a:srgbClr val="000000"/>
              </a:solidFill>
              <a:latin typeface="Arial"/>
              <a:ea typeface="Arial"/>
              <a:cs typeface="Arial"/>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714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Arial"/>
              <a:ea typeface="Arial"/>
              <a:cs typeface="Arial"/>
            </a:rPr>
            <a:t>gi¸ trÞ
</a:t>
          </a:r>
          <a:r>
            <a:rPr lang="en-US" cap="none" sz="800" b="0" i="0" u="none" baseline="0">
              <a:solidFill>
                <a:srgbClr val="000000"/>
              </a:solidFill>
              <a:latin typeface="Arial"/>
              <a:ea typeface="Arial"/>
              <a:cs typeface="Arial"/>
            </a:rPr>
            <a:t> thi hµnh ¸n</a:t>
          </a:r>
        </a:p>
      </xdr:txBody>
    </xdr:sp>
    <xdr:clientData/>
  </xdr:twoCellAnchor>
  <xdr:oneCellAnchor>
    <xdr:from>
      <xdr:col>1</xdr:col>
      <xdr:colOff>1152525</xdr:colOff>
      <xdr:row>2</xdr:row>
      <xdr:rowOff>0</xdr:rowOff>
    </xdr:from>
    <xdr:ext cx="95250" cy="247650"/>
    <xdr:sp>
      <xdr:nvSpPr>
        <xdr:cNvPr id="5" name="Text Box 11"/>
        <xdr:cNvSpPr txBox="1">
          <a:spLocks noChangeArrowheads="1"/>
        </xdr:cNvSpPr>
      </xdr:nvSpPr>
      <xdr:spPr>
        <a:xfrm>
          <a:off x="1504950" y="476250"/>
          <a:ext cx="95250"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71628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71628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238125"/>
    <xdr:sp>
      <xdr:nvSpPr>
        <xdr:cNvPr id="1" name="Text Box 1"/>
        <xdr:cNvSpPr txBox="1">
          <a:spLocks noChangeArrowheads="1"/>
        </xdr:cNvSpPr>
      </xdr:nvSpPr>
      <xdr:spPr>
        <a:xfrm>
          <a:off x="333375" y="7143750"/>
          <a:ext cx="85725"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295275" y="6810375"/>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225;o%20c&#225;o%20th&#7889;ng%20k&#234;\bao%20cao%20nam%202014\3%20th&#225;ng\bao%20cao%203%20thang%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BCQH%202014\Bi&#7875;u%20m&#7851;u%20Ph&#7909;%20l&#7909;c%20v&#7873;%20vi&#7879;cTHA%20li&#234;n%20quan%20&#273;&#7871;n%20t&#237;n%20d&#7909;ng%20ng&#226;n%20h&#224;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7892;NG%20H&#7906;P%20TO&#193;N%20T&#7880;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o cao don doc hanh chinh 19"/>
      <sheetName val="To cao mau 12"/>
      <sheetName val="Khieu nai mau 11"/>
      <sheetName val="sua  mau an tuyen khong ro 9"/>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4">
        <row r="12">
          <cell r="F12">
            <v>309361952</v>
          </cell>
          <cell r="H12">
            <v>17495982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sua  mau an tuyen khong ro 9"/>
    </sheetNames>
    <sheetDataSet>
      <sheetData sheetId="2">
        <row r="6">
          <cell r="C6" t="str">
            <v>=:Các Ngân hàng chính sách (Nhà nước):=</v>
          </cell>
        </row>
        <row r="7">
          <cell r="C7" t="str">
            <v>Ngân hàng Chính sách Xã hội Việt Nam (VBSP)</v>
          </cell>
        </row>
        <row r="8">
          <cell r="C8" t="str">
            <v>Ngân hàng Phát triển Việt Nam (VDB)</v>
          </cell>
        </row>
        <row r="9">
          <cell r="C9" t="str">
            <v>=:Hệ thống Quỹ tín dụng nhân dân Việt Nam:=</v>
          </cell>
        </row>
        <row r="10">
          <cell r="C10" t="str">
            <v>Quỹ Tín dụng Nhân dân Trung ương (CCF)</v>
          </cell>
        </row>
        <row r="11">
          <cell r="C11" t="str">
            <v>=:Ngân hàng thương mại:=</v>
          </cell>
        </row>
        <row r="12">
          <cell r="C12" t="str">
            <v>Ngân hàng Á Châu (ACB)</v>
          </cell>
        </row>
        <row r="13">
          <cell r="C13" t="str">
            <v>Ngân hàng An Bình (ABBank)</v>
          </cell>
        </row>
        <row r="14">
          <cell r="C14" t="str">
            <v>Ngân hàng Bản Việt (VIET CAPITAL BANK, VCCB)</v>
          </cell>
        </row>
        <row r="15">
          <cell r="C15" t="str">
            <v>Ngân hàng Bảo Việt (BaoVietBank, BVB)</v>
          </cell>
        </row>
        <row r="16">
          <cell r="C16" t="str">
            <v>Ngân hàng Bắc Á (NASBank, NASB)</v>
          </cell>
        </row>
        <row r="17">
          <cell r="C17" t="str">
            <v>Ngân hàng Bưu Điện Liên Việt (LienVietPostBank)</v>
          </cell>
        </row>
        <row r="18">
          <cell r="C18" t="str">
            <v>Ngân hàng Công Thương Việt Nam (Vietinbank)</v>
          </cell>
        </row>
        <row r="19">
          <cell r="C19" t="str">
            <v>Ngân hàng Dầu khí toàn cầu (GPBank)</v>
          </cell>
        </row>
        <row r="20">
          <cell r="C20" t="str">
            <v>Ngân hàng Đại Á (sát nhập vào HDBank)</v>
          </cell>
        </row>
        <row r="21">
          <cell r="C21" t="str">
            <v>Ngân hàng Đại Chúng (PVcom Bank)</v>
          </cell>
        </row>
        <row r="22">
          <cell r="C22" t="str">
            <v>Ngân hàng Đại Dương (Oceanbank)</v>
          </cell>
        </row>
        <row r="23">
          <cell r="C23" t="str">
            <v>Ngân hàng Đầu tư và Phát triển Việt Nam (BIDV)</v>
          </cell>
        </row>
        <row r="24">
          <cell r="C24" t="str">
            <v>Ngân hàng Đông Á (DAB)</v>
          </cell>
        </row>
        <row r="25">
          <cell r="C25" t="str">
            <v>Ngân hàng Đông Nam Á (SeABank)</v>
          </cell>
        </row>
        <row r="26">
          <cell r="C26" t="str">
            <v>Ngân hàng Hàng hải Việt Nam (Maritime Bank, MSB)</v>
          </cell>
        </row>
        <row r="27">
          <cell r="C27" t="str">
            <v>Ngân hàng Kiên Long (KienLongBank)</v>
          </cell>
        </row>
        <row r="28">
          <cell r="C28" t="str">
            <v>Ngân hàng Kỹ Thương Việt Nam (Techcombank)</v>
          </cell>
        </row>
        <row r="29">
          <cell r="C29" t="str">
            <v>Ngân hàng Nam Á (Nam A Bank)</v>
          </cell>
        </row>
        <row r="30">
          <cell r="C30" t="str">
            <v>Ngân hàng Nam Việt (NaViBank)</v>
          </cell>
        </row>
        <row r="31">
          <cell r="C31" t="str">
            <v>Ngân hàng Ngoại thương (Vietcombank)</v>
          </cell>
        </row>
        <row r="32">
          <cell r="C32" t="str">
            <v>Ngân hàng Nhà Đồng bằng sông Cửu Long (MHB)</v>
          </cell>
        </row>
        <row r="33">
          <cell r="C33" t="str">
            <v>Ngân hàng Nông nghiệp và phát triển nông thôn (Agribank)</v>
          </cell>
        </row>
        <row r="34">
          <cell r="C34" t="str">
            <v>Ngân hàng Phát Triển Mê Kông (MDB)</v>
          </cell>
        </row>
        <row r="35">
          <cell r="C35" t="str">
            <v>Ngân hàng Phát triển Thành phố Hồ Chí Minh (HDBank)</v>
          </cell>
        </row>
        <row r="36">
          <cell r="C36" t="str">
            <v>Ngân hàng Phương Đông (Orient Commercial Bank, OCB)</v>
          </cell>
        </row>
        <row r="37">
          <cell r="C37" t="str">
            <v>Ngân hàng Phương Nam (Southern Bank, PNB)</v>
          </cell>
        </row>
        <row r="38">
          <cell r="C38" t="str">
            <v>Ngân hàng Quân Đội (Military Bank, MB)</v>
          </cell>
        </row>
        <row r="39">
          <cell r="C39" t="str">
            <v>Ngân hàng Quốc tế (VIBBank, VIB)</v>
          </cell>
        </row>
        <row r="40">
          <cell r="C40" t="str">
            <v>Ngân hàng Sài Gòn (Sài Gòn, SCB)</v>
          </cell>
        </row>
        <row r="41">
          <cell r="C41" t="str">
            <v>Ngân hàng Sài Gòn Công Thương (Saigonbank)</v>
          </cell>
        </row>
        <row r="42">
          <cell r="C42" t="str">
            <v>Ngân hàng Sài Gòn Thương Tín (Sacombank)</v>
          </cell>
        </row>
        <row r="43">
          <cell r="C43" t="str">
            <v>Ngân hàng Sài Gòn-Hà Nội (SHBank, SHB)</v>
          </cell>
        </row>
        <row r="44">
          <cell r="C44" t="str">
            <v>Ngân hàng Tiên Phong (TienPhongBank)</v>
          </cell>
        </row>
        <row r="45">
          <cell r="C45" t="str">
            <v>Ngân hàng Việt Á (VietABank, VAB)</v>
          </cell>
        </row>
        <row r="46">
          <cell r="C46" t="str">
            <v>Ngân hàng Việt Nam Thịnh Vượng (VPBank)</v>
          </cell>
        </row>
        <row r="47">
          <cell r="C47" t="str">
            <v>Ngân hàng Việt Nam Thương Tín (VietBank)</v>
          </cell>
        </row>
        <row r="48">
          <cell r="C48" t="str">
            <v>Ngân hàng Xăng dầu Petrolimex (Petrolimex Group Bank, PG Bank)</v>
          </cell>
        </row>
        <row r="49">
          <cell r="C49" t="str">
            <v>Ngân hàng Xây dựng Việt Nam (VNCB)</v>
          </cell>
        </row>
        <row r="50">
          <cell r="C50" t="str">
            <v>Ngân hàng Xuất Nhập Khẩu Việt Nam (Eximbank, EIB)</v>
          </cell>
        </row>
        <row r="51">
          <cell r="C51" t="str">
            <v>=:Ngân hàng 100% vốn nước ngoài và Chi nhánh ngân hàng nước ngoài tại Việt Nam:=</v>
          </cell>
        </row>
        <row r="52">
          <cell r="C52" t="str">
            <v>Ngân hàng ANZ Việt Nam</v>
          </cell>
        </row>
        <row r="53">
          <cell r="C53" t="str">
            <v>Ngân hàng Citibank Việt Nam</v>
          </cell>
        </row>
        <row r="54">
          <cell r="C54" t="str">
            <v>Ngân hàng Commonwealth Bank tại Việt Nam</v>
          </cell>
        </row>
        <row r="55">
          <cell r="C55" t="str">
            <v>Ngân hàng Crédit Agricole</v>
          </cell>
        </row>
        <row r="56">
          <cell r="C56" t="str">
            <v>Ngân hàng Deutsche Bank Việt Nam</v>
          </cell>
        </row>
        <row r="57">
          <cell r="C57" t="str">
            <v>Ngân hàng HSBC tại Việt Nam</v>
          </cell>
        </row>
        <row r="58">
          <cell r="C58" t="str">
            <v>Ngân hàng Mizuho</v>
          </cell>
        </row>
        <row r="59">
          <cell r="C59" t="str">
            <v>Ngân hàng Đầu tư và Phát triển Campuchia</v>
          </cell>
        </row>
        <row r="60">
          <cell r="C60" t="str">
            <v>Ngân hàng Hong Leong Việt Nam</v>
          </cell>
        </row>
        <row r="61">
          <cell r="C61" t="str">
            <v>Ngân hàng Shinhan Việt Nam</v>
          </cell>
        </row>
        <row r="62">
          <cell r="C62" t="str">
            <v>Ngân hàng Standard Chartered</v>
          </cell>
        </row>
        <row r="63">
          <cell r="C63" t="str">
            <v>Ngân hàng Sumitomo Mitsui Bank</v>
          </cell>
        </row>
        <row r="64">
          <cell r="C64" t="str">
            <v>Ngân hàng Tokyo-Mitsubishi UFJ</v>
          </cell>
        </row>
        <row r="65">
          <cell r="C65" t="str">
            <v>Ngân hàng United Overseas Bank tại Việt Nam</v>
          </cell>
        </row>
        <row r="66">
          <cell r="C66" t="str">
            <v>=:Ngân hàng liên doanh tại Việt Nam:=</v>
          </cell>
        </row>
        <row r="67">
          <cell r="C67" t="str">
            <v>Ngân hàng Indovina</v>
          </cell>
        </row>
        <row r="68">
          <cell r="C68" t="str">
            <v>Ngân hàng ShinhanVina</v>
          </cell>
        </row>
        <row r="69">
          <cell r="C69" t="str">
            <v>Ngân hàng VID Public Bank</v>
          </cell>
        </row>
        <row r="70">
          <cell r="C70" t="str">
            <v>Ngân hàng Việt - Lào</v>
          </cell>
        </row>
        <row r="71">
          <cell r="C71" t="str">
            <v>Ngân hàng Việt - Nga</v>
          </cell>
        </row>
        <row r="72">
          <cell r="C72" t="str">
            <v>Ngân hàng Việt - Thái</v>
          </cell>
        </row>
        <row r="73">
          <cell r="C73" t="str">
            <v>=:Các tổ chức tín dụng ngân hàng bổ sung:=</v>
          </cell>
        </row>
        <row r="74">
          <cell r="C74" t="str">
            <v>Kho bạc nhà nước tỉnh Bình Thuận</v>
          </cell>
        </row>
        <row r="75">
          <cell r="C75" t="str">
            <v>Các quỹ tín dụng khác</v>
          </cell>
        </row>
        <row r="76">
          <cell r="C76" t="str">
            <v>NH1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1:I30"/>
  <sheetViews>
    <sheetView tabSelected="1" zoomScalePageLayoutView="0" workbookViewId="0" topLeftCell="A10">
      <selection activeCell="J30" sqref="J30"/>
    </sheetView>
  </sheetViews>
  <sheetFormatPr defaultColWidth="9.00390625" defaultRowHeight="15.75"/>
  <cols>
    <col min="1" max="1" width="5.00390625" style="0" customWidth="1"/>
    <col min="2" max="2" width="30.00390625" style="0" customWidth="1"/>
    <col min="3" max="3" width="12.50390625" style="0" customWidth="1"/>
    <col min="4" max="4" width="13.25390625" style="0" customWidth="1"/>
    <col min="5" max="5" width="15.00390625" style="0" customWidth="1"/>
    <col min="6" max="6" width="13.25390625" style="0" customWidth="1"/>
    <col min="7" max="7" width="11.25390625" style="0" customWidth="1"/>
    <col min="8" max="8" width="14.00390625" style="0" customWidth="1"/>
    <col min="9" max="9" width="13.25390625" style="0" customWidth="1"/>
  </cols>
  <sheetData>
    <row r="1" spans="1:9" ht="15.75">
      <c r="A1" s="792" t="s">
        <v>711</v>
      </c>
      <c r="B1" s="792"/>
      <c r="C1" s="792"/>
      <c r="D1" s="792"/>
      <c r="E1" s="792"/>
      <c r="F1" s="793" t="s">
        <v>712</v>
      </c>
      <c r="G1" s="793"/>
      <c r="H1" s="793"/>
      <c r="I1" s="793"/>
    </row>
    <row r="2" spans="1:9" ht="15.75">
      <c r="A2" s="794" t="s">
        <v>713</v>
      </c>
      <c r="B2" s="794"/>
      <c r="C2" s="794"/>
      <c r="D2" s="794"/>
      <c r="E2" s="794"/>
      <c r="F2" s="794" t="s">
        <v>714</v>
      </c>
      <c r="G2" s="794"/>
      <c r="H2" s="794"/>
      <c r="I2" s="794"/>
    </row>
    <row r="3" spans="2:8" ht="15.75">
      <c r="B3" s="790"/>
      <c r="C3" s="790"/>
      <c r="D3" s="790"/>
      <c r="E3" s="790"/>
      <c r="F3" s="790"/>
      <c r="G3" s="790"/>
      <c r="H3" s="790"/>
    </row>
    <row r="4" spans="2:9" ht="18.75">
      <c r="B4" s="791" t="s">
        <v>715</v>
      </c>
      <c r="C4" s="791"/>
      <c r="D4" s="791"/>
      <c r="E4" s="791"/>
      <c r="F4" s="791"/>
      <c r="G4" s="791"/>
      <c r="H4" s="791"/>
      <c r="I4" s="791"/>
    </row>
    <row r="5" spans="2:9" ht="15.75">
      <c r="B5" s="793" t="s">
        <v>716</v>
      </c>
      <c r="C5" s="793"/>
      <c r="D5" s="793"/>
      <c r="E5" s="793"/>
      <c r="F5" s="793"/>
      <c r="G5" s="793"/>
      <c r="H5" s="793"/>
      <c r="I5" s="793"/>
    </row>
    <row r="6" spans="2:9" ht="15.75">
      <c r="B6" s="796" t="s">
        <v>383</v>
      </c>
      <c r="C6" s="796"/>
      <c r="D6" s="796"/>
      <c r="E6" s="796"/>
      <c r="F6" s="796"/>
      <c r="G6" s="796"/>
      <c r="H6" s="796"/>
      <c r="I6" s="796"/>
    </row>
    <row r="7" spans="2:9" ht="15.75">
      <c r="B7" s="796" t="s">
        <v>13</v>
      </c>
      <c r="C7" s="796"/>
      <c r="D7" s="796"/>
      <c r="E7" s="796"/>
      <c r="F7" s="796"/>
      <c r="G7" s="796"/>
      <c r="H7" s="796"/>
      <c r="I7" s="796"/>
    </row>
    <row r="8" spans="2:9" ht="15.75">
      <c r="B8" s="797" t="s">
        <v>36</v>
      </c>
      <c r="C8" s="797"/>
      <c r="D8" s="797"/>
      <c r="E8" s="797"/>
      <c r="F8" s="797"/>
      <c r="G8" s="797"/>
      <c r="H8" s="797"/>
      <c r="I8" s="797"/>
    </row>
    <row r="9" spans="1:9" ht="15.75">
      <c r="A9" s="798" t="s">
        <v>717</v>
      </c>
      <c r="B9" s="799" t="s">
        <v>718</v>
      </c>
      <c r="C9" s="799" t="s">
        <v>719</v>
      </c>
      <c r="D9" s="799"/>
      <c r="E9" s="799"/>
      <c r="F9" s="799"/>
      <c r="G9" s="799" t="s">
        <v>720</v>
      </c>
      <c r="H9" s="799"/>
      <c r="I9" s="491" t="s">
        <v>18</v>
      </c>
    </row>
    <row r="10" spans="1:9" ht="15.75">
      <c r="A10" s="798"/>
      <c r="B10" s="799"/>
      <c r="C10" s="799" t="s">
        <v>721</v>
      </c>
      <c r="D10" s="799"/>
      <c r="E10" s="799" t="s">
        <v>722</v>
      </c>
      <c r="F10" s="799"/>
      <c r="G10" s="799" t="s">
        <v>721</v>
      </c>
      <c r="H10" s="799" t="s">
        <v>722</v>
      </c>
      <c r="I10" s="799"/>
    </row>
    <row r="11" spans="1:9" ht="31.5">
      <c r="A11" s="798"/>
      <c r="B11" s="799"/>
      <c r="C11" s="491" t="s">
        <v>723</v>
      </c>
      <c r="D11" s="491" t="s">
        <v>724</v>
      </c>
      <c r="E11" s="491" t="s">
        <v>723</v>
      </c>
      <c r="F11" s="491" t="s">
        <v>724</v>
      </c>
      <c r="G11" s="799"/>
      <c r="H11" s="799"/>
      <c r="I11" s="799"/>
    </row>
    <row r="12" spans="1:9" ht="22.5" customHeight="1">
      <c r="A12" s="800" t="s">
        <v>725</v>
      </c>
      <c r="B12" s="800"/>
      <c r="C12" s="498">
        <f>SUM(C13:C23)</f>
        <v>642</v>
      </c>
      <c r="D12" s="498">
        <f aca="true" t="shared" si="0" ref="D12:I12">SUM(D13:D23)</f>
        <v>918</v>
      </c>
      <c r="E12" s="498">
        <f t="shared" si="0"/>
        <v>9091326</v>
      </c>
      <c r="F12" s="498">
        <f t="shared" si="0"/>
        <v>16707539</v>
      </c>
      <c r="G12" s="498">
        <f t="shared" si="0"/>
        <v>936</v>
      </c>
      <c r="H12" s="498">
        <f t="shared" si="0"/>
        <v>10829719</v>
      </c>
      <c r="I12" s="498">
        <f t="shared" si="0"/>
        <v>0</v>
      </c>
    </row>
    <row r="13" spans="1:9" ht="17.25" customHeight="1">
      <c r="A13" s="492">
        <v>1</v>
      </c>
      <c r="B13" s="670" t="s">
        <v>388</v>
      </c>
      <c r="C13" s="671">
        <v>92</v>
      </c>
      <c r="D13" s="671">
        <v>106</v>
      </c>
      <c r="E13" s="671">
        <v>5991507</v>
      </c>
      <c r="F13" s="671">
        <v>14626663</v>
      </c>
      <c r="G13" s="671">
        <v>91</v>
      </c>
      <c r="H13" s="671">
        <v>8509422</v>
      </c>
      <c r="I13" s="671"/>
    </row>
    <row r="14" spans="1:9" ht="18" customHeight="1">
      <c r="A14" s="492">
        <v>2</v>
      </c>
      <c r="B14" s="670" t="s">
        <v>706</v>
      </c>
      <c r="C14" s="672">
        <v>135</v>
      </c>
      <c r="D14" s="672">
        <v>96</v>
      </c>
      <c r="E14" s="672">
        <v>1067597</v>
      </c>
      <c r="F14" s="672">
        <v>252530</v>
      </c>
      <c r="G14" s="672">
        <v>90</v>
      </c>
      <c r="H14" s="672">
        <v>300521</v>
      </c>
      <c r="I14" s="671"/>
    </row>
    <row r="15" spans="1:9" ht="18" customHeight="1">
      <c r="A15" s="492">
        <v>3</v>
      </c>
      <c r="B15" s="670" t="s">
        <v>707</v>
      </c>
      <c r="C15" s="673">
        <v>14</v>
      </c>
      <c r="D15" s="673">
        <v>15</v>
      </c>
      <c r="E15" s="673">
        <v>25338</v>
      </c>
      <c r="F15" s="673">
        <v>186415</v>
      </c>
      <c r="G15" s="673">
        <v>10</v>
      </c>
      <c r="H15" s="673">
        <v>35757</v>
      </c>
      <c r="I15" s="671"/>
    </row>
    <row r="16" spans="1:9" ht="17.25" customHeight="1">
      <c r="A16" s="492">
        <v>4</v>
      </c>
      <c r="B16" s="670" t="s">
        <v>448</v>
      </c>
      <c r="C16" s="674">
        <v>98</v>
      </c>
      <c r="D16" s="674">
        <v>201</v>
      </c>
      <c r="E16" s="674">
        <v>211984</v>
      </c>
      <c r="F16" s="674">
        <v>180942</v>
      </c>
      <c r="G16" s="674">
        <v>170</v>
      </c>
      <c r="H16" s="674">
        <v>109997</v>
      </c>
      <c r="I16" s="671"/>
    </row>
    <row r="17" spans="1:9" ht="17.25" customHeight="1">
      <c r="A17" s="492">
        <v>5</v>
      </c>
      <c r="B17" s="670" t="s">
        <v>449</v>
      </c>
      <c r="C17" s="675">
        <v>19</v>
      </c>
      <c r="D17" s="675">
        <v>82</v>
      </c>
      <c r="E17" s="675">
        <v>51493</v>
      </c>
      <c r="F17" s="675">
        <v>340090</v>
      </c>
      <c r="G17" s="675">
        <v>59</v>
      </c>
      <c r="H17" s="675">
        <v>127260</v>
      </c>
      <c r="I17" s="671"/>
    </row>
    <row r="18" spans="1:9" ht="20.25" customHeight="1">
      <c r="A18" s="492">
        <v>6</v>
      </c>
      <c r="B18" s="670" t="s">
        <v>450</v>
      </c>
      <c r="C18" s="672">
        <v>94</v>
      </c>
      <c r="D18" s="672">
        <v>79</v>
      </c>
      <c r="E18" s="676">
        <v>227395</v>
      </c>
      <c r="F18" s="676">
        <v>84414</v>
      </c>
      <c r="G18" s="672">
        <v>147</v>
      </c>
      <c r="H18" s="676">
        <v>216587</v>
      </c>
      <c r="I18" s="677"/>
    </row>
    <row r="19" spans="1:9" ht="18" customHeight="1">
      <c r="A19" s="492">
        <v>7</v>
      </c>
      <c r="B19" s="678" t="s">
        <v>451</v>
      </c>
      <c r="C19" s="679">
        <v>19</v>
      </c>
      <c r="D19" s="679">
        <v>26</v>
      </c>
      <c r="E19" s="679">
        <v>21000</v>
      </c>
      <c r="F19" s="679">
        <v>47550</v>
      </c>
      <c r="G19" s="679">
        <v>23</v>
      </c>
      <c r="H19" s="679">
        <v>19850</v>
      </c>
      <c r="I19" s="680"/>
    </row>
    <row r="20" spans="1:9" ht="17.25" customHeight="1">
      <c r="A20" s="492">
        <v>8</v>
      </c>
      <c r="B20" s="678" t="s">
        <v>726</v>
      </c>
      <c r="C20" s="679">
        <v>19</v>
      </c>
      <c r="D20" s="679">
        <v>26</v>
      </c>
      <c r="E20" s="679">
        <v>460125</v>
      </c>
      <c r="F20" s="679">
        <v>13000</v>
      </c>
      <c r="G20" s="679">
        <v>12</v>
      </c>
      <c r="H20" s="679">
        <v>13800</v>
      </c>
      <c r="I20" s="680"/>
    </row>
    <row r="21" spans="1:9" ht="18" customHeight="1">
      <c r="A21" s="492">
        <v>9</v>
      </c>
      <c r="B21" s="678" t="s">
        <v>727</v>
      </c>
      <c r="C21" s="679">
        <v>125</v>
      </c>
      <c r="D21" s="679">
        <v>210</v>
      </c>
      <c r="E21" s="679">
        <v>969287</v>
      </c>
      <c r="F21" s="679">
        <v>826550</v>
      </c>
      <c r="G21" s="679">
        <v>265</v>
      </c>
      <c r="H21" s="679">
        <v>1395628</v>
      </c>
      <c r="I21" s="681"/>
    </row>
    <row r="22" spans="1:9" ht="18" customHeight="1">
      <c r="A22" s="492">
        <v>10</v>
      </c>
      <c r="B22" s="678" t="s">
        <v>454</v>
      </c>
      <c r="C22" s="679">
        <v>23</v>
      </c>
      <c r="D22" s="679">
        <v>76</v>
      </c>
      <c r="E22" s="679">
        <v>52167</v>
      </c>
      <c r="F22" s="679">
        <v>149185</v>
      </c>
      <c r="G22" s="679">
        <v>69</v>
      </c>
      <c r="H22" s="679">
        <v>100897</v>
      </c>
      <c r="I22" s="680"/>
    </row>
    <row r="23" spans="1:9" ht="20.25" customHeight="1" thickBot="1">
      <c r="A23" s="493">
        <v>11</v>
      </c>
      <c r="B23" s="682" t="s">
        <v>455</v>
      </c>
      <c r="C23" s="683">
        <v>4</v>
      </c>
      <c r="D23" s="683">
        <v>1</v>
      </c>
      <c r="E23" s="683">
        <v>13433</v>
      </c>
      <c r="F23" s="683">
        <v>200</v>
      </c>
      <c r="G23" s="683">
        <v>0</v>
      </c>
      <c r="H23" s="683">
        <v>0</v>
      </c>
      <c r="I23" s="683">
        <v>0</v>
      </c>
    </row>
    <row r="24" spans="1:9" ht="17.25" thickTop="1">
      <c r="A24" s="795" t="s">
        <v>384</v>
      </c>
      <c r="B24" s="795"/>
      <c r="C24" s="795"/>
      <c r="D24" s="795"/>
      <c r="E24" s="494"/>
      <c r="F24" s="795" t="s">
        <v>384</v>
      </c>
      <c r="G24" s="795"/>
      <c r="H24" s="795"/>
      <c r="I24" s="795"/>
    </row>
    <row r="25" spans="1:9" ht="16.5">
      <c r="A25" s="801" t="s">
        <v>43</v>
      </c>
      <c r="B25" s="801"/>
      <c r="C25" s="801"/>
      <c r="D25" s="801"/>
      <c r="E25" s="495"/>
      <c r="F25" s="801" t="s">
        <v>12</v>
      </c>
      <c r="G25" s="801"/>
      <c r="H25" s="801"/>
      <c r="I25" s="801"/>
    </row>
    <row r="26" spans="1:9" ht="16.5">
      <c r="A26" s="485"/>
      <c r="B26" s="489"/>
      <c r="C26" s="485"/>
      <c r="D26" s="485"/>
      <c r="E26" s="485"/>
      <c r="F26" s="801" t="s">
        <v>656</v>
      </c>
      <c r="G26" s="801"/>
      <c r="H26" s="801"/>
      <c r="I26" s="801"/>
    </row>
    <row r="27" spans="1:9" ht="16.5">
      <c r="A27" s="490"/>
      <c r="B27" s="490"/>
      <c r="C27" s="490"/>
      <c r="D27" s="490"/>
      <c r="E27" s="490"/>
      <c r="F27" s="490"/>
      <c r="G27" s="490"/>
      <c r="H27" s="490"/>
      <c r="I27" s="490"/>
    </row>
    <row r="28" spans="1:9" ht="16.5">
      <c r="A28" s="485"/>
      <c r="B28" s="489"/>
      <c r="C28" s="485"/>
      <c r="D28" s="485"/>
      <c r="E28" s="485"/>
      <c r="F28" s="485"/>
      <c r="G28" s="813" t="s">
        <v>738</v>
      </c>
      <c r="H28" s="1223"/>
      <c r="I28" s="485"/>
    </row>
    <row r="29" spans="1:9" ht="16.5">
      <c r="A29" s="485"/>
      <c r="B29" s="489"/>
      <c r="C29" s="485"/>
      <c r="D29" s="485"/>
      <c r="E29" s="485"/>
      <c r="F29" s="485"/>
      <c r="G29" s="485"/>
      <c r="H29" s="485"/>
      <c r="I29" s="485"/>
    </row>
    <row r="30" spans="1:9" ht="16.5">
      <c r="A30" s="801" t="s">
        <v>390</v>
      </c>
      <c r="B30" s="801"/>
      <c r="C30" s="801"/>
      <c r="D30" s="801"/>
      <c r="E30" s="495"/>
      <c r="F30" s="801" t="s">
        <v>2</v>
      </c>
      <c r="G30" s="801"/>
      <c r="H30" s="801"/>
      <c r="I30" s="801"/>
    </row>
  </sheetData>
  <sheetProtection/>
  <mergeCells count="28">
    <mergeCell ref="A25:D25"/>
    <mergeCell ref="F25:I25"/>
    <mergeCell ref="A30:D30"/>
    <mergeCell ref="F30:I30"/>
    <mergeCell ref="F26:I26"/>
    <mergeCell ref="G28:H28"/>
    <mergeCell ref="G10:G11"/>
    <mergeCell ref="H10:H11"/>
    <mergeCell ref="I10:I11"/>
    <mergeCell ref="A12:B12"/>
    <mergeCell ref="C10:D10"/>
    <mergeCell ref="E10:F10"/>
    <mergeCell ref="A24:D24"/>
    <mergeCell ref="F24:I24"/>
    <mergeCell ref="B5:I5"/>
    <mergeCell ref="B6:I6"/>
    <mergeCell ref="B7:I7"/>
    <mergeCell ref="B8:I8"/>
    <mergeCell ref="A9:A11"/>
    <mergeCell ref="B9:B11"/>
    <mergeCell ref="C9:F9"/>
    <mergeCell ref="G9:H9"/>
    <mergeCell ref="B3:H3"/>
    <mergeCell ref="B4:I4"/>
    <mergeCell ref="A1:E1"/>
    <mergeCell ref="F1:I1"/>
    <mergeCell ref="A2:E2"/>
    <mergeCell ref="F2:I2"/>
  </mergeCells>
  <printOptions/>
  <pageMargins left="0.25"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1"/>
  </sheetPr>
  <dimension ref="A1:X32"/>
  <sheetViews>
    <sheetView zoomScalePageLayoutView="0" workbookViewId="0" topLeftCell="A4">
      <selection activeCell="N26" sqref="N26:T26"/>
    </sheetView>
  </sheetViews>
  <sheetFormatPr defaultColWidth="9.00390625" defaultRowHeight="15.75"/>
  <cols>
    <col min="1" max="1" width="3.25390625" style="46" customWidth="1"/>
    <col min="2" max="2" width="22.50390625" style="46" customWidth="1"/>
    <col min="3" max="3" width="7.00390625" style="46" customWidth="1"/>
    <col min="4" max="4" width="6.75390625" style="46" customWidth="1"/>
    <col min="5" max="5" width="5.875" style="46" customWidth="1"/>
    <col min="6" max="6" width="6.625" style="46" customWidth="1"/>
    <col min="7" max="8" width="6.375" style="46" customWidth="1"/>
    <col min="9" max="9" width="6.25390625" style="46" customWidth="1"/>
    <col min="10" max="10" width="6.375" style="46" customWidth="1"/>
    <col min="11" max="11" width="5.625" style="46" customWidth="1"/>
    <col min="12" max="15" width="5.875" style="46" customWidth="1"/>
    <col min="16" max="16" width="5.50390625" style="46" customWidth="1"/>
    <col min="17" max="17" width="6.375" style="46" customWidth="1"/>
    <col min="18" max="18" width="5.75390625" style="46" customWidth="1"/>
    <col min="19" max="19" width="5.50390625" style="46" customWidth="1"/>
    <col min="20" max="20" width="5.375" style="46" customWidth="1"/>
    <col min="21" max="16384" width="9.00390625" style="46" customWidth="1"/>
  </cols>
  <sheetData>
    <row r="1" spans="1:20" s="325" customFormat="1" ht="15.75">
      <c r="A1" s="291"/>
      <c r="B1" s="291"/>
      <c r="C1" s="291"/>
      <c r="D1" s="291"/>
      <c r="E1" s="291"/>
      <c r="F1" s="291"/>
      <c r="G1" s="291"/>
      <c r="H1" s="291"/>
      <c r="I1" s="291"/>
      <c r="J1" s="291"/>
      <c r="K1" s="291"/>
      <c r="L1" s="291"/>
      <c r="M1" s="291"/>
      <c r="N1" s="291"/>
      <c r="O1" s="291"/>
      <c r="P1" s="291"/>
      <c r="Q1" s="291"/>
      <c r="R1" s="291"/>
      <c r="S1" s="291"/>
      <c r="T1" s="291"/>
    </row>
    <row r="2" spans="1:20" s="15" customFormat="1" ht="16.5">
      <c r="A2" s="788" t="s">
        <v>539</v>
      </c>
      <c r="B2" s="788"/>
      <c r="C2" s="788"/>
      <c r="D2" s="286"/>
      <c r="E2" s="754" t="s">
        <v>540</v>
      </c>
      <c r="F2" s="754"/>
      <c r="G2" s="754"/>
      <c r="H2" s="754"/>
      <c r="I2" s="754"/>
      <c r="J2" s="754"/>
      <c r="K2" s="754"/>
      <c r="L2" s="754"/>
      <c r="M2" s="754"/>
      <c r="N2" s="754"/>
      <c r="O2" s="326"/>
      <c r="P2" s="904" t="s">
        <v>379</v>
      </c>
      <c r="Q2" s="904"/>
      <c r="R2" s="904"/>
      <c r="S2" s="904"/>
      <c r="T2" s="904"/>
    </row>
    <row r="3" spans="1:20" s="325" customFormat="1" ht="16.5">
      <c r="A3" s="905" t="s">
        <v>514</v>
      </c>
      <c r="B3" s="905"/>
      <c r="C3" s="905"/>
      <c r="D3" s="905"/>
      <c r="E3" s="748" t="s">
        <v>541</v>
      </c>
      <c r="F3" s="748"/>
      <c r="G3" s="748"/>
      <c r="H3" s="748"/>
      <c r="I3" s="748"/>
      <c r="J3" s="748"/>
      <c r="K3" s="748"/>
      <c r="L3" s="748"/>
      <c r="M3" s="748"/>
      <c r="N3" s="748"/>
      <c r="O3" s="327"/>
      <c r="P3" s="906" t="s">
        <v>388</v>
      </c>
      <c r="Q3" s="906"/>
      <c r="R3" s="906"/>
      <c r="S3" s="906"/>
      <c r="T3" s="906"/>
    </row>
    <row r="4" spans="1:20" s="15" customFormat="1" ht="16.5">
      <c r="A4" s="902" t="s">
        <v>368</v>
      </c>
      <c r="B4" s="902"/>
      <c r="C4" s="902"/>
      <c r="D4" s="289"/>
      <c r="E4" s="754" t="s">
        <v>0</v>
      </c>
      <c r="F4" s="754"/>
      <c r="G4" s="754"/>
      <c r="H4" s="754"/>
      <c r="I4" s="754"/>
      <c r="J4" s="754"/>
      <c r="K4" s="754"/>
      <c r="L4" s="754"/>
      <c r="M4" s="754"/>
      <c r="N4" s="754"/>
      <c r="O4" s="327"/>
      <c r="P4" s="780" t="s">
        <v>378</v>
      </c>
      <c r="Q4" s="780"/>
      <c r="R4" s="780"/>
      <c r="S4" s="780"/>
      <c r="T4" s="780"/>
    </row>
    <row r="5" spans="1:20" s="15" customFormat="1" ht="15.75">
      <c r="A5" s="883" t="s">
        <v>372</v>
      </c>
      <c r="B5" s="883"/>
      <c r="C5" s="883"/>
      <c r="D5" s="290"/>
      <c r="E5" s="903" t="s">
        <v>1</v>
      </c>
      <c r="F5" s="903"/>
      <c r="G5" s="903"/>
      <c r="H5" s="903"/>
      <c r="I5" s="903"/>
      <c r="J5" s="903"/>
      <c r="K5" s="903"/>
      <c r="L5" s="903"/>
      <c r="M5" s="903"/>
      <c r="N5" s="903"/>
      <c r="O5" s="903"/>
      <c r="P5" s="884" t="s">
        <v>392</v>
      </c>
      <c r="Q5" s="884"/>
      <c r="R5" s="884"/>
      <c r="S5" s="884"/>
      <c r="T5" s="884"/>
    </row>
    <row r="6" spans="1:20" s="15" customFormat="1" ht="15.75">
      <c r="A6" s="291"/>
      <c r="B6" s="291"/>
      <c r="C6" s="291"/>
      <c r="D6" s="291"/>
      <c r="E6" s="291"/>
      <c r="F6" s="291"/>
      <c r="G6" s="291"/>
      <c r="H6" s="291"/>
      <c r="I6" s="291"/>
      <c r="J6" s="291"/>
      <c r="K6" s="291"/>
      <c r="L6" s="291"/>
      <c r="M6" s="291"/>
      <c r="N6" s="291"/>
      <c r="O6" s="291"/>
      <c r="P6" s="885" t="s">
        <v>515</v>
      </c>
      <c r="Q6" s="885"/>
      <c r="R6" s="885"/>
      <c r="S6" s="885"/>
      <c r="T6" s="885"/>
    </row>
    <row r="7" spans="1:20" s="325" customFormat="1" ht="15.75">
      <c r="A7" s="854" t="s">
        <v>294</v>
      </c>
      <c r="B7" s="886"/>
      <c r="C7" s="889" t="s">
        <v>16</v>
      </c>
      <c r="D7" s="892" t="s">
        <v>542</v>
      </c>
      <c r="E7" s="893"/>
      <c r="F7" s="893"/>
      <c r="G7" s="893"/>
      <c r="H7" s="893"/>
      <c r="I7" s="893"/>
      <c r="J7" s="894"/>
      <c r="K7" s="895" t="s">
        <v>543</v>
      </c>
      <c r="L7" s="896"/>
      <c r="M7" s="896"/>
      <c r="N7" s="896"/>
      <c r="O7" s="896"/>
      <c r="P7" s="896"/>
      <c r="Q7" s="896"/>
      <c r="R7" s="896"/>
      <c r="S7" s="896"/>
      <c r="T7" s="897"/>
    </row>
    <row r="8" spans="1:20" s="325" customFormat="1" ht="15.75">
      <c r="A8" s="856"/>
      <c r="B8" s="887"/>
      <c r="C8" s="890"/>
      <c r="D8" s="893" t="s">
        <v>106</v>
      </c>
      <c r="E8" s="893"/>
      <c r="F8" s="893"/>
      <c r="G8" s="893"/>
      <c r="H8" s="893"/>
      <c r="I8" s="893"/>
      <c r="J8" s="894"/>
      <c r="K8" s="898"/>
      <c r="L8" s="899"/>
      <c r="M8" s="899"/>
      <c r="N8" s="899"/>
      <c r="O8" s="899"/>
      <c r="P8" s="899"/>
      <c r="Q8" s="899"/>
      <c r="R8" s="899"/>
      <c r="S8" s="899"/>
      <c r="T8" s="900"/>
    </row>
    <row r="9" spans="1:20" s="325" customFormat="1" ht="26.25" customHeight="1">
      <c r="A9" s="856"/>
      <c r="B9" s="887"/>
      <c r="C9" s="890"/>
      <c r="D9" s="835" t="s">
        <v>544</v>
      </c>
      <c r="E9" s="901"/>
      <c r="F9" s="881" t="s">
        <v>545</v>
      </c>
      <c r="G9" s="901"/>
      <c r="H9" s="881" t="s">
        <v>546</v>
      </c>
      <c r="I9" s="901"/>
      <c r="J9" s="881" t="s">
        <v>547</v>
      </c>
      <c r="K9" s="882" t="s">
        <v>548</v>
      </c>
      <c r="L9" s="882"/>
      <c r="M9" s="882"/>
      <c r="N9" s="882" t="s">
        <v>549</v>
      </c>
      <c r="O9" s="882"/>
      <c r="P9" s="882"/>
      <c r="Q9" s="881" t="s">
        <v>550</v>
      </c>
      <c r="R9" s="880" t="s">
        <v>551</v>
      </c>
      <c r="S9" s="880" t="s">
        <v>552</v>
      </c>
      <c r="T9" s="881" t="s">
        <v>553</v>
      </c>
    </row>
    <row r="10" spans="1:20" s="325" customFormat="1" ht="15.75">
      <c r="A10" s="856"/>
      <c r="B10" s="887"/>
      <c r="C10" s="890"/>
      <c r="D10" s="835" t="s">
        <v>554</v>
      </c>
      <c r="E10" s="881" t="s">
        <v>555</v>
      </c>
      <c r="F10" s="881" t="s">
        <v>554</v>
      </c>
      <c r="G10" s="881" t="s">
        <v>555</v>
      </c>
      <c r="H10" s="881" t="s">
        <v>554</v>
      </c>
      <c r="I10" s="881" t="s">
        <v>556</v>
      </c>
      <c r="J10" s="881"/>
      <c r="K10" s="882"/>
      <c r="L10" s="882"/>
      <c r="M10" s="882"/>
      <c r="N10" s="882"/>
      <c r="O10" s="882"/>
      <c r="P10" s="882"/>
      <c r="Q10" s="881"/>
      <c r="R10" s="880"/>
      <c r="S10" s="880"/>
      <c r="T10" s="881"/>
    </row>
    <row r="11" spans="1:20" s="325" customFormat="1" ht="15.75">
      <c r="A11" s="858"/>
      <c r="B11" s="888"/>
      <c r="C11" s="891"/>
      <c r="D11" s="835"/>
      <c r="E11" s="881"/>
      <c r="F11" s="881"/>
      <c r="G11" s="881"/>
      <c r="H11" s="881"/>
      <c r="I11" s="881"/>
      <c r="J11" s="881"/>
      <c r="K11" s="229" t="s">
        <v>557</v>
      </c>
      <c r="L11" s="229" t="s">
        <v>535</v>
      </c>
      <c r="M11" s="229" t="s">
        <v>558</v>
      </c>
      <c r="N11" s="229" t="s">
        <v>557</v>
      </c>
      <c r="O11" s="229" t="s">
        <v>559</v>
      </c>
      <c r="P11" s="229" t="s">
        <v>560</v>
      </c>
      <c r="Q11" s="881"/>
      <c r="R11" s="880"/>
      <c r="S11" s="880"/>
      <c r="T11" s="881"/>
    </row>
    <row r="12" spans="1:20" s="325" customFormat="1" ht="12.75" customHeight="1">
      <c r="A12" s="872" t="s">
        <v>105</v>
      </c>
      <c r="B12" s="873"/>
      <c r="C12" s="331">
        <v>1</v>
      </c>
      <c r="D12" s="332">
        <v>2</v>
      </c>
      <c r="E12" s="332">
        <v>3</v>
      </c>
      <c r="F12" s="332">
        <v>4</v>
      </c>
      <c r="G12" s="332">
        <v>5</v>
      </c>
      <c r="H12" s="332">
        <v>6</v>
      </c>
      <c r="I12" s="332">
        <v>7</v>
      </c>
      <c r="J12" s="332">
        <v>8</v>
      </c>
      <c r="K12" s="332">
        <v>9</v>
      </c>
      <c r="L12" s="332">
        <v>10</v>
      </c>
      <c r="M12" s="332">
        <v>11</v>
      </c>
      <c r="N12" s="332">
        <v>12</v>
      </c>
      <c r="O12" s="332">
        <v>13</v>
      </c>
      <c r="P12" s="332">
        <v>14</v>
      </c>
      <c r="Q12" s="332">
        <v>15</v>
      </c>
      <c r="R12" s="332">
        <v>16</v>
      </c>
      <c r="S12" s="332">
        <v>17</v>
      </c>
      <c r="T12" s="332">
        <v>18</v>
      </c>
    </row>
    <row r="13" spans="1:20" s="325" customFormat="1" ht="21" customHeight="1">
      <c r="A13" s="874" t="s">
        <v>561</v>
      </c>
      <c r="B13" s="875"/>
      <c r="C13" s="566">
        <f>C14+C15</f>
        <v>132</v>
      </c>
      <c r="D13" s="567">
        <f aca="true" t="shared" si="0" ref="D13:T13">D14+D15</f>
        <v>1</v>
      </c>
      <c r="E13" s="567">
        <f t="shared" si="0"/>
        <v>0</v>
      </c>
      <c r="F13" s="567">
        <f t="shared" si="0"/>
        <v>101</v>
      </c>
      <c r="G13" s="567">
        <f t="shared" si="0"/>
        <v>22</v>
      </c>
      <c r="H13" s="567">
        <f t="shared" si="0"/>
        <v>1</v>
      </c>
      <c r="I13" s="567">
        <f t="shared" si="0"/>
        <v>3</v>
      </c>
      <c r="J13" s="567">
        <f t="shared" si="0"/>
        <v>4</v>
      </c>
      <c r="K13" s="567">
        <f t="shared" si="0"/>
        <v>0</v>
      </c>
      <c r="L13" s="567">
        <f t="shared" si="0"/>
        <v>14</v>
      </c>
      <c r="M13" s="567">
        <f t="shared" si="0"/>
        <v>32</v>
      </c>
      <c r="N13" s="567">
        <f t="shared" si="0"/>
        <v>15</v>
      </c>
      <c r="O13" s="567">
        <f t="shared" si="0"/>
        <v>16</v>
      </c>
      <c r="P13" s="567">
        <f t="shared" si="0"/>
        <v>38</v>
      </c>
      <c r="Q13" s="567">
        <f t="shared" si="0"/>
        <v>62</v>
      </c>
      <c r="R13" s="567">
        <f t="shared" si="0"/>
        <v>1</v>
      </c>
      <c r="S13" s="567">
        <f t="shared" si="0"/>
        <v>20</v>
      </c>
      <c r="T13" s="567">
        <f t="shared" si="0"/>
        <v>49</v>
      </c>
    </row>
    <row r="14" spans="1:24" s="325" customFormat="1" ht="15.75">
      <c r="A14" s="292" t="s">
        <v>14</v>
      </c>
      <c r="B14" s="293" t="s">
        <v>639</v>
      </c>
      <c r="C14" s="696">
        <f>D14+E14+F14+G14+H14+I14+J14</f>
        <v>26</v>
      </c>
      <c r="D14" s="323">
        <v>1</v>
      </c>
      <c r="E14" s="323">
        <v>0</v>
      </c>
      <c r="F14" s="323">
        <v>19</v>
      </c>
      <c r="G14" s="323">
        <v>4</v>
      </c>
      <c r="H14" s="323">
        <v>0</v>
      </c>
      <c r="I14" s="697">
        <v>1</v>
      </c>
      <c r="J14" s="697">
        <v>1</v>
      </c>
      <c r="K14" s="697">
        <v>0</v>
      </c>
      <c r="L14" s="697">
        <v>8</v>
      </c>
      <c r="M14" s="323">
        <v>11</v>
      </c>
      <c r="N14" s="323">
        <v>8</v>
      </c>
      <c r="O14" s="323">
        <v>1</v>
      </c>
      <c r="P14" s="323">
        <v>11</v>
      </c>
      <c r="Q14" s="323">
        <v>15</v>
      </c>
      <c r="R14" s="323">
        <v>0</v>
      </c>
      <c r="S14" s="323">
        <v>4</v>
      </c>
      <c r="T14" s="323">
        <v>7</v>
      </c>
      <c r="X14" s="388"/>
    </row>
    <row r="15" spans="1:20" s="325" customFormat="1" ht="19.5" customHeight="1">
      <c r="A15" s="466" t="s">
        <v>15</v>
      </c>
      <c r="B15" s="568" t="s">
        <v>125</v>
      </c>
      <c r="C15" s="696">
        <f>C16+C17+C18+C19+C20+C21+C22+C23+C24+C25</f>
        <v>106</v>
      </c>
      <c r="D15" s="565">
        <f aca="true" t="shared" si="1" ref="D15:T15">D16+D17+D18+D19+D20+D21+D22+D23+D24+D25</f>
        <v>0</v>
      </c>
      <c r="E15" s="565">
        <f t="shared" si="1"/>
        <v>0</v>
      </c>
      <c r="F15" s="565">
        <f t="shared" si="1"/>
        <v>82</v>
      </c>
      <c r="G15" s="565">
        <f t="shared" si="1"/>
        <v>18</v>
      </c>
      <c r="H15" s="565">
        <f t="shared" si="1"/>
        <v>1</v>
      </c>
      <c r="I15" s="565">
        <f t="shared" si="1"/>
        <v>2</v>
      </c>
      <c r="J15" s="565">
        <f t="shared" si="1"/>
        <v>3</v>
      </c>
      <c r="K15" s="565">
        <f t="shared" si="1"/>
        <v>0</v>
      </c>
      <c r="L15" s="565">
        <f t="shared" si="1"/>
        <v>6</v>
      </c>
      <c r="M15" s="565">
        <f t="shared" si="1"/>
        <v>21</v>
      </c>
      <c r="N15" s="565">
        <f t="shared" si="1"/>
        <v>7</v>
      </c>
      <c r="O15" s="565">
        <f t="shared" si="1"/>
        <v>15</v>
      </c>
      <c r="P15" s="565">
        <f t="shared" si="1"/>
        <v>27</v>
      </c>
      <c r="Q15" s="565">
        <f t="shared" si="1"/>
        <v>47</v>
      </c>
      <c r="R15" s="565">
        <f t="shared" si="1"/>
        <v>1</v>
      </c>
      <c r="S15" s="565">
        <f t="shared" si="1"/>
        <v>16</v>
      </c>
      <c r="T15" s="565">
        <f t="shared" si="1"/>
        <v>42</v>
      </c>
    </row>
    <row r="16" spans="1:20" s="325" customFormat="1" ht="18.75" customHeight="1">
      <c r="A16" s="239" t="s">
        <v>212</v>
      </c>
      <c r="B16" s="425" t="s">
        <v>446</v>
      </c>
      <c r="C16" s="696">
        <f>D16+E16+F16+G16+H16+I16+J16</f>
        <v>16</v>
      </c>
      <c r="D16" s="323">
        <v>0</v>
      </c>
      <c r="E16" s="323">
        <v>0</v>
      </c>
      <c r="F16" s="323">
        <v>14</v>
      </c>
      <c r="G16" s="323">
        <v>2</v>
      </c>
      <c r="H16" s="323">
        <v>0</v>
      </c>
      <c r="I16" s="697">
        <v>0</v>
      </c>
      <c r="J16" s="697">
        <v>0</v>
      </c>
      <c r="K16" s="697">
        <v>0</v>
      </c>
      <c r="L16" s="697">
        <v>1</v>
      </c>
      <c r="M16" s="323">
        <v>3</v>
      </c>
      <c r="N16" s="323">
        <v>1</v>
      </c>
      <c r="O16" s="323">
        <v>2</v>
      </c>
      <c r="P16" s="323">
        <v>2</v>
      </c>
      <c r="Q16" s="323">
        <v>10</v>
      </c>
      <c r="R16" s="323">
        <v>1</v>
      </c>
      <c r="S16" s="323">
        <v>3</v>
      </c>
      <c r="T16" s="323">
        <v>2</v>
      </c>
    </row>
    <row r="17" spans="1:22" s="325" customFormat="1" ht="18" customHeight="1">
      <c r="A17" s="239" t="s">
        <v>213</v>
      </c>
      <c r="B17" s="425" t="s">
        <v>447</v>
      </c>
      <c r="C17" s="696">
        <f aca="true" t="shared" si="2" ref="C17:C25">D17+E17+F17+G17+H17+I17+J17</f>
        <v>12</v>
      </c>
      <c r="D17" s="323">
        <v>0</v>
      </c>
      <c r="E17" s="323">
        <v>0</v>
      </c>
      <c r="F17" s="323">
        <v>9</v>
      </c>
      <c r="G17" s="323">
        <v>2</v>
      </c>
      <c r="H17" s="323">
        <v>0</v>
      </c>
      <c r="I17" s="697">
        <v>1</v>
      </c>
      <c r="J17" s="697">
        <v>0</v>
      </c>
      <c r="K17" s="697">
        <v>0</v>
      </c>
      <c r="L17" s="697">
        <v>2</v>
      </c>
      <c r="M17" s="323">
        <v>0</v>
      </c>
      <c r="N17" s="323">
        <v>1</v>
      </c>
      <c r="O17" s="323">
        <v>0</v>
      </c>
      <c r="P17" s="323">
        <v>8</v>
      </c>
      <c r="Q17" s="323">
        <v>4</v>
      </c>
      <c r="R17" s="323">
        <v>0</v>
      </c>
      <c r="S17" s="323">
        <v>3</v>
      </c>
      <c r="T17" s="323">
        <v>5</v>
      </c>
      <c r="V17" s="387"/>
    </row>
    <row r="18" spans="1:20" s="325" customFormat="1" ht="18" customHeight="1">
      <c r="A18" s="239" t="s">
        <v>214</v>
      </c>
      <c r="B18" s="425" t="s">
        <v>448</v>
      </c>
      <c r="C18" s="696">
        <f t="shared" si="2"/>
        <v>13</v>
      </c>
      <c r="D18" s="323">
        <v>0</v>
      </c>
      <c r="E18" s="323">
        <v>0</v>
      </c>
      <c r="F18" s="323">
        <v>10</v>
      </c>
      <c r="G18" s="323">
        <v>3</v>
      </c>
      <c r="H18" s="323">
        <v>0</v>
      </c>
      <c r="I18" s="697">
        <v>0</v>
      </c>
      <c r="J18" s="697">
        <v>0</v>
      </c>
      <c r="K18" s="697">
        <v>0</v>
      </c>
      <c r="L18" s="697">
        <v>0</v>
      </c>
      <c r="M18" s="323">
        <v>2</v>
      </c>
      <c r="N18" s="323">
        <v>1</v>
      </c>
      <c r="O18" s="323">
        <v>4</v>
      </c>
      <c r="P18" s="323">
        <v>3</v>
      </c>
      <c r="Q18" s="323">
        <v>6</v>
      </c>
      <c r="R18" s="323">
        <v>0</v>
      </c>
      <c r="S18" s="323">
        <v>1</v>
      </c>
      <c r="T18" s="323">
        <v>6</v>
      </c>
    </row>
    <row r="19" spans="1:20" s="325" customFormat="1" ht="17.25" customHeight="1">
      <c r="A19" s="239" t="s">
        <v>296</v>
      </c>
      <c r="B19" s="425" t="s">
        <v>449</v>
      </c>
      <c r="C19" s="696">
        <f t="shared" si="2"/>
        <v>11</v>
      </c>
      <c r="D19" s="323">
        <v>0</v>
      </c>
      <c r="E19" s="323">
        <v>0</v>
      </c>
      <c r="F19" s="323">
        <v>7</v>
      </c>
      <c r="G19" s="323">
        <v>3</v>
      </c>
      <c r="H19" s="323">
        <v>0</v>
      </c>
      <c r="I19" s="697">
        <v>0</v>
      </c>
      <c r="J19" s="697">
        <v>1</v>
      </c>
      <c r="K19" s="697">
        <v>0</v>
      </c>
      <c r="L19" s="697">
        <v>0</v>
      </c>
      <c r="M19" s="323">
        <v>4</v>
      </c>
      <c r="N19" s="323">
        <v>1</v>
      </c>
      <c r="O19" s="323">
        <v>1</v>
      </c>
      <c r="P19" s="323">
        <v>0</v>
      </c>
      <c r="Q19" s="323">
        <v>6</v>
      </c>
      <c r="R19" s="323">
        <v>0</v>
      </c>
      <c r="S19" s="323">
        <v>1</v>
      </c>
      <c r="T19" s="323">
        <v>4</v>
      </c>
    </row>
    <row r="20" spans="1:20" s="325" customFormat="1" ht="18" customHeight="1">
      <c r="A20" s="239" t="s">
        <v>297</v>
      </c>
      <c r="B20" s="425" t="s">
        <v>450</v>
      </c>
      <c r="C20" s="696">
        <f t="shared" si="2"/>
        <v>11</v>
      </c>
      <c r="D20" s="323">
        <v>0</v>
      </c>
      <c r="E20" s="323">
        <v>0</v>
      </c>
      <c r="F20" s="323">
        <v>8</v>
      </c>
      <c r="G20" s="323">
        <v>2</v>
      </c>
      <c r="H20" s="323">
        <v>0</v>
      </c>
      <c r="I20" s="697">
        <v>0</v>
      </c>
      <c r="J20" s="697">
        <v>1</v>
      </c>
      <c r="K20" s="697">
        <v>0</v>
      </c>
      <c r="L20" s="697">
        <v>0</v>
      </c>
      <c r="M20" s="323">
        <v>2</v>
      </c>
      <c r="N20" s="323">
        <v>0</v>
      </c>
      <c r="O20" s="323">
        <v>3</v>
      </c>
      <c r="P20" s="323">
        <v>2</v>
      </c>
      <c r="Q20" s="323">
        <v>4</v>
      </c>
      <c r="R20" s="323">
        <v>0</v>
      </c>
      <c r="S20" s="323">
        <v>2</v>
      </c>
      <c r="T20" s="323">
        <v>5</v>
      </c>
    </row>
    <row r="21" spans="1:20" s="325" customFormat="1" ht="18" customHeight="1">
      <c r="A21" s="239" t="s">
        <v>298</v>
      </c>
      <c r="B21" s="425" t="s">
        <v>451</v>
      </c>
      <c r="C21" s="696">
        <f t="shared" si="2"/>
        <v>8</v>
      </c>
      <c r="D21" s="323">
        <v>0</v>
      </c>
      <c r="E21" s="323">
        <v>0</v>
      </c>
      <c r="F21" s="323">
        <v>5</v>
      </c>
      <c r="G21" s="323">
        <v>1</v>
      </c>
      <c r="H21" s="323">
        <v>1</v>
      </c>
      <c r="I21" s="697">
        <v>1</v>
      </c>
      <c r="J21" s="697">
        <v>0</v>
      </c>
      <c r="K21" s="697">
        <v>0</v>
      </c>
      <c r="L21" s="697">
        <v>0</v>
      </c>
      <c r="M21" s="323">
        <v>1</v>
      </c>
      <c r="N21" s="323">
        <v>0</v>
      </c>
      <c r="O21" s="323">
        <v>0</v>
      </c>
      <c r="P21" s="323">
        <v>0</v>
      </c>
      <c r="Q21" s="323">
        <v>2</v>
      </c>
      <c r="R21" s="323">
        <v>0</v>
      </c>
      <c r="S21" s="323">
        <v>1</v>
      </c>
      <c r="T21" s="323">
        <v>5</v>
      </c>
    </row>
    <row r="22" spans="1:20" s="325" customFormat="1" ht="18.75" customHeight="1">
      <c r="A22" s="239" t="s">
        <v>299</v>
      </c>
      <c r="B22" s="425" t="s">
        <v>452</v>
      </c>
      <c r="C22" s="696">
        <f t="shared" si="2"/>
        <v>12</v>
      </c>
      <c r="D22" s="323">
        <v>0</v>
      </c>
      <c r="E22" s="323">
        <v>0</v>
      </c>
      <c r="F22" s="323">
        <v>10</v>
      </c>
      <c r="G22" s="323">
        <v>2</v>
      </c>
      <c r="H22" s="323">
        <v>0</v>
      </c>
      <c r="I22" s="697">
        <v>0</v>
      </c>
      <c r="J22" s="697">
        <v>0</v>
      </c>
      <c r="K22" s="697">
        <v>0</v>
      </c>
      <c r="L22" s="697">
        <v>2</v>
      </c>
      <c r="M22" s="323">
        <v>4</v>
      </c>
      <c r="N22" s="323">
        <v>1</v>
      </c>
      <c r="O22" s="323">
        <v>1</v>
      </c>
      <c r="P22" s="323">
        <v>8</v>
      </c>
      <c r="Q22" s="323">
        <v>5</v>
      </c>
      <c r="R22" s="323">
        <v>0</v>
      </c>
      <c r="S22" s="323">
        <v>4</v>
      </c>
      <c r="T22" s="323">
        <v>3</v>
      </c>
    </row>
    <row r="23" spans="1:20" s="325" customFormat="1" ht="19.5" customHeight="1">
      <c r="A23" s="239" t="s">
        <v>300</v>
      </c>
      <c r="B23" s="425" t="s">
        <v>453</v>
      </c>
      <c r="C23" s="696">
        <f t="shared" si="2"/>
        <v>9</v>
      </c>
      <c r="D23" s="323">
        <v>0</v>
      </c>
      <c r="E23" s="323">
        <v>0</v>
      </c>
      <c r="F23" s="323">
        <v>8</v>
      </c>
      <c r="G23" s="323">
        <v>1</v>
      </c>
      <c r="H23" s="323">
        <v>0</v>
      </c>
      <c r="I23" s="697">
        <v>0</v>
      </c>
      <c r="J23" s="697">
        <v>0</v>
      </c>
      <c r="K23" s="697">
        <v>0</v>
      </c>
      <c r="L23" s="697">
        <v>1</v>
      </c>
      <c r="M23" s="323">
        <v>2</v>
      </c>
      <c r="N23" s="323">
        <v>1</v>
      </c>
      <c r="O23" s="323">
        <v>2</v>
      </c>
      <c r="P23" s="323">
        <v>0</v>
      </c>
      <c r="Q23" s="323">
        <v>4</v>
      </c>
      <c r="R23" s="323">
        <v>0</v>
      </c>
      <c r="S23" s="323">
        <v>0</v>
      </c>
      <c r="T23" s="323">
        <v>5</v>
      </c>
    </row>
    <row r="24" spans="1:20" s="325" customFormat="1" ht="18.75" customHeight="1">
      <c r="A24" s="239" t="s">
        <v>301</v>
      </c>
      <c r="B24" s="425" t="s">
        <v>454</v>
      </c>
      <c r="C24" s="696">
        <f t="shared" si="2"/>
        <v>9</v>
      </c>
      <c r="D24" s="323">
        <v>0</v>
      </c>
      <c r="E24" s="323">
        <v>0</v>
      </c>
      <c r="F24" s="323">
        <v>7</v>
      </c>
      <c r="G24" s="323">
        <v>2</v>
      </c>
      <c r="H24" s="323">
        <v>0</v>
      </c>
      <c r="I24" s="697">
        <v>0</v>
      </c>
      <c r="J24" s="697">
        <v>0</v>
      </c>
      <c r="K24" s="697">
        <v>0</v>
      </c>
      <c r="L24" s="697">
        <v>0</v>
      </c>
      <c r="M24" s="323">
        <v>2</v>
      </c>
      <c r="N24" s="323">
        <v>0</v>
      </c>
      <c r="O24" s="323">
        <v>2</v>
      </c>
      <c r="P24" s="323">
        <v>0</v>
      </c>
      <c r="Q24" s="323">
        <v>4</v>
      </c>
      <c r="R24" s="323">
        <v>0</v>
      </c>
      <c r="S24" s="323">
        <v>0</v>
      </c>
      <c r="T24" s="323">
        <v>5</v>
      </c>
    </row>
    <row r="25" spans="1:20" s="325" customFormat="1" ht="21" customHeight="1" thickBot="1">
      <c r="A25" s="240" t="s">
        <v>345</v>
      </c>
      <c r="B25" s="684" t="s">
        <v>455</v>
      </c>
      <c r="C25" s="698">
        <f t="shared" si="2"/>
        <v>5</v>
      </c>
      <c r="D25" s="693">
        <v>0</v>
      </c>
      <c r="E25" s="693">
        <v>0</v>
      </c>
      <c r="F25" s="693">
        <v>4</v>
      </c>
      <c r="G25" s="693">
        <v>0</v>
      </c>
      <c r="H25" s="693">
        <v>0</v>
      </c>
      <c r="I25" s="699">
        <v>0</v>
      </c>
      <c r="J25" s="699">
        <v>1</v>
      </c>
      <c r="K25" s="699">
        <v>0</v>
      </c>
      <c r="L25" s="699">
        <v>0</v>
      </c>
      <c r="M25" s="693">
        <v>1</v>
      </c>
      <c r="N25" s="693">
        <v>1</v>
      </c>
      <c r="O25" s="693">
        <v>0</v>
      </c>
      <c r="P25" s="693">
        <v>4</v>
      </c>
      <c r="Q25" s="693">
        <v>2</v>
      </c>
      <c r="R25" s="693">
        <v>0</v>
      </c>
      <c r="S25" s="693">
        <v>1</v>
      </c>
      <c r="T25" s="693">
        <v>2</v>
      </c>
    </row>
    <row r="26" spans="1:20" s="325" customFormat="1" ht="21" customHeight="1" thickTop="1">
      <c r="A26" s="328"/>
      <c r="B26" s="876" t="s">
        <v>384</v>
      </c>
      <c r="C26" s="876"/>
      <c r="D26" s="876"/>
      <c r="E26" s="876"/>
      <c r="F26" s="329"/>
      <c r="G26" s="329"/>
      <c r="H26" s="329"/>
      <c r="I26" s="329"/>
      <c r="J26" s="329"/>
      <c r="K26" s="329"/>
      <c r="L26" s="328"/>
      <c r="M26" s="328"/>
      <c r="N26" s="878" t="s">
        <v>384</v>
      </c>
      <c r="O26" s="878"/>
      <c r="P26" s="878"/>
      <c r="Q26" s="878"/>
      <c r="R26" s="878"/>
      <c r="S26" s="878"/>
      <c r="T26" s="878"/>
    </row>
    <row r="27" spans="1:20" s="15" customFormat="1" ht="16.5">
      <c r="A27" s="328"/>
      <c r="B27" s="877" t="s">
        <v>538</v>
      </c>
      <c r="C27" s="877"/>
      <c r="D27" s="877"/>
      <c r="E27" s="877"/>
      <c r="F27" s="295"/>
      <c r="G27" s="295"/>
      <c r="H27" s="295"/>
      <c r="I27" s="295"/>
      <c r="J27" s="295"/>
      <c r="K27" s="295"/>
      <c r="L27" s="330"/>
      <c r="M27" s="330"/>
      <c r="N27" s="760" t="s">
        <v>660</v>
      </c>
      <c r="O27" s="760"/>
      <c r="P27" s="760"/>
      <c r="Q27" s="760"/>
      <c r="R27" s="760"/>
      <c r="S27" s="760"/>
      <c r="T27" s="760"/>
    </row>
    <row r="28" spans="1:20" ht="16.5">
      <c r="A28" s="15"/>
      <c r="B28" s="15"/>
      <c r="C28" s="15"/>
      <c r="D28" s="15"/>
      <c r="E28" s="15"/>
      <c r="F28" s="15"/>
      <c r="G28" s="15"/>
      <c r="H28" s="15"/>
      <c r="I28" s="15"/>
      <c r="J28" s="15"/>
      <c r="K28" s="15"/>
      <c r="L28" s="15"/>
      <c r="M28" s="15"/>
      <c r="N28" s="879" t="s">
        <v>656</v>
      </c>
      <c r="O28" s="879"/>
      <c r="P28" s="879"/>
      <c r="Q28" s="879"/>
      <c r="R28" s="879"/>
      <c r="S28" s="879"/>
      <c r="T28" s="879"/>
    </row>
    <row r="32" spans="2:20" ht="16.5">
      <c r="B32" s="879" t="s">
        <v>390</v>
      </c>
      <c r="C32" s="879"/>
      <c r="D32" s="879"/>
      <c r="E32" s="879"/>
      <c r="N32" s="879" t="s">
        <v>2</v>
      </c>
      <c r="O32" s="879"/>
      <c r="P32" s="879"/>
      <c r="Q32" s="879"/>
      <c r="R32" s="879"/>
      <c r="S32" s="879"/>
      <c r="T32" s="879"/>
    </row>
  </sheetData>
  <sheetProtection/>
  <mergeCells count="43">
    <mergeCell ref="A2:C2"/>
    <mergeCell ref="E2:N2"/>
    <mergeCell ref="P2:T2"/>
    <mergeCell ref="A3:D3"/>
    <mergeCell ref="E3:N3"/>
    <mergeCell ref="P3:T3"/>
    <mergeCell ref="H9:I9"/>
    <mergeCell ref="J9:J11"/>
    <mergeCell ref="A4:C4"/>
    <mergeCell ref="E4:N4"/>
    <mergeCell ref="E5:O5"/>
    <mergeCell ref="D8:J8"/>
    <mergeCell ref="D9:E9"/>
    <mergeCell ref="F9:G9"/>
    <mergeCell ref="P4:T4"/>
    <mergeCell ref="A5:C5"/>
    <mergeCell ref="P5:T5"/>
    <mergeCell ref="Q9:Q11"/>
    <mergeCell ref="R9:R11"/>
    <mergeCell ref="P6:T6"/>
    <mergeCell ref="A7:B11"/>
    <mergeCell ref="C7:C11"/>
    <mergeCell ref="D7:J7"/>
    <mergeCell ref="K7:T8"/>
    <mergeCell ref="S9:S11"/>
    <mergeCell ref="T9:T11"/>
    <mergeCell ref="D10:D11"/>
    <mergeCell ref="E10:E11"/>
    <mergeCell ref="F10:F11"/>
    <mergeCell ref="G10:G11"/>
    <mergeCell ref="H10:H11"/>
    <mergeCell ref="I10:I11"/>
    <mergeCell ref="K9:M10"/>
    <mergeCell ref="N9:P10"/>
    <mergeCell ref="N26:T26"/>
    <mergeCell ref="N27:T27"/>
    <mergeCell ref="N28:T28"/>
    <mergeCell ref="B32:E32"/>
    <mergeCell ref="N32:T32"/>
    <mergeCell ref="A12:B12"/>
    <mergeCell ref="A13:B13"/>
    <mergeCell ref="B26:E26"/>
    <mergeCell ref="B27:E27"/>
  </mergeCells>
  <printOptions/>
  <pageMargins left="0" right="0" top="0" bottom="0"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35"/>
  </sheetPr>
  <dimension ref="A1:T32"/>
  <sheetViews>
    <sheetView zoomScalePageLayoutView="0" workbookViewId="0" topLeftCell="A4">
      <selection activeCell="I18" sqref="I18"/>
    </sheetView>
  </sheetViews>
  <sheetFormatPr defaultColWidth="9.00390625" defaultRowHeight="15.75"/>
  <cols>
    <col min="1" max="1" width="3.875" style="0" customWidth="1"/>
    <col min="2" max="2" width="22.875" style="0" customWidth="1"/>
    <col min="3" max="3" width="7.625" style="0" customWidth="1"/>
    <col min="4" max="4" width="6.75390625" style="0" customWidth="1"/>
    <col min="5" max="5" width="6.00390625" style="0" customWidth="1"/>
    <col min="6" max="6" width="6.625" style="0" customWidth="1"/>
    <col min="7" max="7" width="5.50390625" style="0" customWidth="1"/>
    <col min="8" max="8" width="6.625" style="0" customWidth="1"/>
    <col min="9" max="9" width="6.00390625" style="0" customWidth="1"/>
    <col min="10" max="10" width="6.50390625" style="0" customWidth="1"/>
    <col min="11" max="11" width="6.125" style="0" customWidth="1"/>
    <col min="12" max="12" width="6.00390625" style="0" customWidth="1"/>
    <col min="13" max="13" width="6.25390625" style="0" customWidth="1"/>
    <col min="14" max="14" width="5.125" style="0" customWidth="1"/>
    <col min="15" max="15" width="5.25390625" style="0" customWidth="1"/>
    <col min="16" max="16" width="5.375" style="0" customWidth="1"/>
    <col min="17" max="17" width="5.00390625" style="0" customWidth="1"/>
    <col min="18" max="18" width="6.125" style="0" customWidth="1"/>
    <col min="19" max="19" width="5.375" style="0" customWidth="1"/>
    <col min="20" max="20" width="5.50390625" style="0" customWidth="1"/>
  </cols>
  <sheetData>
    <row r="1" spans="1:20" ht="15.75">
      <c r="A1" s="280"/>
      <c r="B1" s="280"/>
      <c r="C1" s="280"/>
      <c r="D1" s="280"/>
      <c r="E1" s="280"/>
      <c r="F1" s="280"/>
      <c r="G1" s="280"/>
      <c r="H1" s="280"/>
      <c r="I1" s="280"/>
      <c r="J1" s="280"/>
      <c r="K1" s="280"/>
      <c r="L1" s="280"/>
      <c r="M1" s="280"/>
      <c r="N1" s="280"/>
      <c r="O1" s="280"/>
      <c r="P1" s="280"/>
      <c r="Q1" s="280"/>
      <c r="R1" s="280"/>
      <c r="S1" s="280"/>
      <c r="T1" s="280"/>
    </row>
    <row r="2" spans="1:20" ht="16.5" customHeight="1">
      <c r="A2" s="914" t="s">
        <v>646</v>
      </c>
      <c r="B2" s="914"/>
      <c r="C2" s="914"/>
      <c r="D2" s="823" t="s">
        <v>513</v>
      </c>
      <c r="E2" s="824"/>
      <c r="F2" s="824"/>
      <c r="G2" s="824"/>
      <c r="H2" s="824"/>
      <c r="I2" s="824"/>
      <c r="J2" s="824"/>
      <c r="K2" s="824"/>
      <c r="L2" s="824"/>
      <c r="M2" s="824"/>
      <c r="N2" s="824"/>
      <c r="O2" s="281"/>
      <c r="P2" s="281" t="s">
        <v>379</v>
      </c>
      <c r="Q2" s="281"/>
      <c r="R2" s="281"/>
      <c r="S2" s="281"/>
      <c r="T2" s="281"/>
    </row>
    <row r="3" spans="1:20" ht="19.5" customHeight="1">
      <c r="A3" s="914" t="s">
        <v>460</v>
      </c>
      <c r="B3" s="914"/>
      <c r="C3" s="914"/>
      <c r="D3" s="824"/>
      <c r="E3" s="824"/>
      <c r="F3" s="824"/>
      <c r="G3" s="824"/>
      <c r="H3" s="824"/>
      <c r="I3" s="824"/>
      <c r="J3" s="824"/>
      <c r="K3" s="824"/>
      <c r="L3" s="824"/>
      <c r="M3" s="824"/>
      <c r="N3" s="824"/>
      <c r="O3" s="282"/>
      <c r="P3" s="283" t="s">
        <v>388</v>
      </c>
      <c r="Q3" s="282"/>
      <c r="R3" s="282"/>
      <c r="S3" s="282"/>
      <c r="T3" s="282"/>
    </row>
    <row r="4" spans="1:20" ht="16.5">
      <c r="A4" s="914" t="s">
        <v>486</v>
      </c>
      <c r="B4" s="914"/>
      <c r="C4" s="914"/>
      <c r="D4" s="824" t="s">
        <v>8</v>
      </c>
      <c r="E4" s="824"/>
      <c r="F4" s="824"/>
      <c r="G4" s="824"/>
      <c r="H4" s="824"/>
      <c r="I4" s="824"/>
      <c r="J4" s="824"/>
      <c r="K4" s="824"/>
      <c r="L4" s="824"/>
      <c r="M4" s="824"/>
      <c r="N4" s="824"/>
      <c r="O4" s="282"/>
      <c r="P4" s="282" t="s">
        <v>378</v>
      </c>
      <c r="Q4" s="282"/>
      <c r="R4" s="282"/>
      <c r="S4" s="282"/>
      <c r="T4" s="282"/>
    </row>
    <row r="5" spans="1:20" ht="15.75">
      <c r="A5" s="912" t="s">
        <v>461</v>
      </c>
      <c r="B5" s="912"/>
      <c r="C5" s="912"/>
      <c r="D5" s="903" t="s">
        <v>1</v>
      </c>
      <c r="E5" s="903"/>
      <c r="F5" s="903"/>
      <c r="G5" s="903"/>
      <c r="H5" s="903"/>
      <c r="I5" s="903"/>
      <c r="J5" s="903"/>
      <c r="K5" s="903"/>
      <c r="L5" s="903"/>
      <c r="M5" s="903"/>
      <c r="N5" s="903"/>
      <c r="O5" s="282"/>
      <c r="P5" s="283" t="s">
        <v>392</v>
      </c>
      <c r="Q5" s="282"/>
      <c r="R5" s="282"/>
      <c r="S5" s="282"/>
      <c r="T5" s="282"/>
    </row>
    <row r="6" spans="1:20" ht="15.75">
      <c r="A6" s="280"/>
      <c r="B6" s="280"/>
      <c r="C6" s="280"/>
      <c r="D6" s="280"/>
      <c r="E6" s="280"/>
      <c r="F6" s="280"/>
      <c r="G6" s="280"/>
      <c r="H6" s="280"/>
      <c r="I6" s="280"/>
      <c r="J6" s="280"/>
      <c r="K6" s="280"/>
      <c r="L6" s="258"/>
      <c r="M6" s="258"/>
      <c r="N6" s="258"/>
      <c r="O6" s="237"/>
      <c r="P6" s="236" t="s">
        <v>515</v>
      </c>
      <c r="Q6" s="237"/>
      <c r="R6" s="237"/>
      <c r="S6" s="237"/>
      <c r="T6" s="237"/>
    </row>
    <row r="7" spans="1:20" ht="15.75">
      <c r="A7" s="854" t="s">
        <v>294</v>
      </c>
      <c r="B7" s="855"/>
      <c r="C7" s="818" t="s">
        <v>516</v>
      </c>
      <c r="D7" s="913" t="s">
        <v>517</v>
      </c>
      <c r="E7" s="911"/>
      <c r="F7" s="911"/>
      <c r="G7" s="911"/>
      <c r="H7" s="911"/>
      <c r="I7" s="911"/>
      <c r="J7" s="911"/>
      <c r="K7" s="911"/>
      <c r="L7" s="911"/>
      <c r="M7" s="911"/>
      <c r="N7" s="911"/>
      <c r="O7" s="911"/>
      <c r="P7" s="911"/>
      <c r="Q7" s="911"/>
      <c r="R7" s="911"/>
      <c r="S7" s="911"/>
      <c r="T7" s="818" t="s">
        <v>518</v>
      </c>
    </row>
    <row r="8" spans="1:20" ht="15.75">
      <c r="A8" s="856"/>
      <c r="B8" s="857"/>
      <c r="C8" s="818"/>
      <c r="D8" s="735" t="s">
        <v>494</v>
      </c>
      <c r="E8" s="911" t="s">
        <v>106</v>
      </c>
      <c r="F8" s="911"/>
      <c r="G8" s="911"/>
      <c r="H8" s="911"/>
      <c r="I8" s="911"/>
      <c r="J8" s="911"/>
      <c r="K8" s="911"/>
      <c r="L8" s="911"/>
      <c r="M8" s="911"/>
      <c r="N8" s="911"/>
      <c r="O8" s="911"/>
      <c r="P8" s="911"/>
      <c r="Q8" s="911"/>
      <c r="R8" s="911"/>
      <c r="S8" s="911"/>
      <c r="T8" s="818"/>
    </row>
    <row r="9" spans="1:20" ht="24.75" customHeight="1">
      <c r="A9" s="856"/>
      <c r="B9" s="857"/>
      <c r="C9" s="818"/>
      <c r="D9" s="736"/>
      <c r="E9" s="733" t="s">
        <v>519</v>
      </c>
      <c r="F9" s="818"/>
      <c r="G9" s="818"/>
      <c r="H9" s="818" t="s">
        <v>520</v>
      </c>
      <c r="I9" s="818"/>
      <c r="J9" s="818"/>
      <c r="K9" s="818" t="s">
        <v>521</v>
      </c>
      <c r="L9" s="818"/>
      <c r="M9" s="818" t="s">
        <v>522</v>
      </c>
      <c r="N9" s="818"/>
      <c r="O9" s="818"/>
      <c r="P9" s="818" t="s">
        <v>523</v>
      </c>
      <c r="Q9" s="818" t="s">
        <v>524</v>
      </c>
      <c r="R9" s="818" t="s">
        <v>525</v>
      </c>
      <c r="S9" s="744" t="s">
        <v>526</v>
      </c>
      <c r="T9" s="818"/>
    </row>
    <row r="10" spans="1:20" ht="40.5" customHeight="1">
      <c r="A10" s="858"/>
      <c r="B10" s="859"/>
      <c r="C10" s="818"/>
      <c r="D10" s="817"/>
      <c r="E10" s="284" t="s">
        <v>527</v>
      </c>
      <c r="F10" s="269" t="s">
        <v>528</v>
      </c>
      <c r="G10" s="284" t="s">
        <v>529</v>
      </c>
      <c r="H10" s="269" t="s">
        <v>530</v>
      </c>
      <c r="I10" s="269" t="s">
        <v>531</v>
      </c>
      <c r="J10" s="269" t="s">
        <v>532</v>
      </c>
      <c r="K10" s="269" t="s">
        <v>528</v>
      </c>
      <c r="L10" s="269" t="s">
        <v>533</v>
      </c>
      <c r="M10" s="269" t="s">
        <v>534</v>
      </c>
      <c r="N10" s="269" t="s">
        <v>535</v>
      </c>
      <c r="O10" s="269" t="s">
        <v>536</v>
      </c>
      <c r="P10" s="818"/>
      <c r="Q10" s="818"/>
      <c r="R10" s="818"/>
      <c r="S10" s="744"/>
      <c r="T10" s="818"/>
    </row>
    <row r="11" spans="1:20" ht="13.5" customHeight="1">
      <c r="A11" s="907" t="s">
        <v>105</v>
      </c>
      <c r="B11" s="908"/>
      <c r="C11" s="375">
        <v>1</v>
      </c>
      <c r="D11" s="375">
        <v>2</v>
      </c>
      <c r="E11" s="375">
        <v>3</v>
      </c>
      <c r="F11" s="375">
        <v>4</v>
      </c>
      <c r="G11" s="375">
        <v>5</v>
      </c>
      <c r="H11" s="375">
        <v>6</v>
      </c>
      <c r="I11" s="375">
        <v>7</v>
      </c>
      <c r="J11" s="375">
        <v>8</v>
      </c>
      <c r="K11" s="375">
        <v>9</v>
      </c>
      <c r="L11" s="375">
        <v>10</v>
      </c>
      <c r="M11" s="375">
        <v>11</v>
      </c>
      <c r="N11" s="375">
        <v>12</v>
      </c>
      <c r="O11" s="375">
        <v>13</v>
      </c>
      <c r="P11" s="375">
        <v>14</v>
      </c>
      <c r="Q11" s="375">
        <v>15</v>
      </c>
      <c r="R11" s="375">
        <v>16</v>
      </c>
      <c r="S11" s="375">
        <v>17</v>
      </c>
      <c r="T11" s="375">
        <v>18</v>
      </c>
    </row>
    <row r="12" spans="1:20" ht="18" customHeight="1">
      <c r="A12" s="909" t="s">
        <v>146</v>
      </c>
      <c r="B12" s="910"/>
      <c r="C12" s="565">
        <f>C13+C14</f>
        <v>133</v>
      </c>
      <c r="D12" s="565">
        <f aca="true" t="shared" si="0" ref="D12:T12">D13+D14</f>
        <v>132</v>
      </c>
      <c r="E12" s="565">
        <f t="shared" si="0"/>
        <v>0</v>
      </c>
      <c r="F12" s="565">
        <f t="shared" si="0"/>
        <v>13</v>
      </c>
      <c r="G12" s="565">
        <f t="shared" si="0"/>
        <v>49</v>
      </c>
      <c r="H12" s="565">
        <f t="shared" si="0"/>
        <v>0</v>
      </c>
      <c r="I12" s="565">
        <f t="shared" si="0"/>
        <v>0</v>
      </c>
      <c r="J12" s="565">
        <f t="shared" si="0"/>
        <v>1</v>
      </c>
      <c r="K12" s="565">
        <f t="shared" si="0"/>
        <v>2</v>
      </c>
      <c r="L12" s="565">
        <f t="shared" si="0"/>
        <v>18</v>
      </c>
      <c r="M12" s="565">
        <f t="shared" si="0"/>
        <v>0</v>
      </c>
      <c r="N12" s="565">
        <f t="shared" si="0"/>
        <v>0</v>
      </c>
      <c r="O12" s="565">
        <f t="shared" si="0"/>
        <v>15</v>
      </c>
      <c r="P12" s="565">
        <f t="shared" si="0"/>
        <v>6</v>
      </c>
      <c r="Q12" s="565">
        <f t="shared" si="0"/>
        <v>20</v>
      </c>
      <c r="R12" s="565">
        <f t="shared" si="0"/>
        <v>1</v>
      </c>
      <c r="S12" s="565">
        <f t="shared" si="0"/>
        <v>7</v>
      </c>
      <c r="T12" s="565">
        <f t="shared" si="0"/>
        <v>1</v>
      </c>
    </row>
    <row r="13" spans="1:20" ht="18.75" customHeight="1">
      <c r="A13" s="727" t="s">
        <v>14</v>
      </c>
      <c r="B13" s="728" t="s">
        <v>639</v>
      </c>
      <c r="C13" s="565">
        <f>D13+T13</f>
        <v>26</v>
      </c>
      <c r="D13" s="565">
        <f>E13+F13+G13+H13+I13+J13+K13+L13+M13+N13+O13+P13+Q13+R13+S13</f>
        <v>26</v>
      </c>
      <c r="E13" s="323">
        <v>0</v>
      </c>
      <c r="F13" s="323">
        <v>10</v>
      </c>
      <c r="G13" s="323">
        <v>5</v>
      </c>
      <c r="H13" s="323">
        <v>0</v>
      </c>
      <c r="I13" s="323">
        <v>0</v>
      </c>
      <c r="J13" s="323">
        <v>0</v>
      </c>
      <c r="K13" s="323">
        <v>0</v>
      </c>
      <c r="L13" s="323">
        <v>4</v>
      </c>
      <c r="M13" s="323">
        <v>0</v>
      </c>
      <c r="N13" s="323">
        <v>0</v>
      </c>
      <c r="O13" s="323">
        <v>1</v>
      </c>
      <c r="P13" s="323">
        <v>3</v>
      </c>
      <c r="Q13" s="323">
        <v>2</v>
      </c>
      <c r="R13" s="323">
        <v>1</v>
      </c>
      <c r="S13" s="323">
        <v>0</v>
      </c>
      <c r="T13" s="323">
        <v>0</v>
      </c>
    </row>
    <row r="14" spans="1:20" ht="15.75">
      <c r="A14" s="729" t="s">
        <v>15</v>
      </c>
      <c r="B14" s="730" t="s">
        <v>125</v>
      </c>
      <c r="C14" s="731">
        <f>C15+C16+C17+C18+C19+C20+C21+C22+C23+C24</f>
        <v>107</v>
      </c>
      <c r="D14" s="731">
        <f aca="true" t="shared" si="1" ref="D14:T14">D15+D16+D17+D18+D19+D20+D21+D22+D23+D24</f>
        <v>106</v>
      </c>
      <c r="E14" s="731">
        <f t="shared" si="1"/>
        <v>0</v>
      </c>
      <c r="F14" s="731">
        <f t="shared" si="1"/>
        <v>3</v>
      </c>
      <c r="G14" s="731">
        <f t="shared" si="1"/>
        <v>44</v>
      </c>
      <c r="H14" s="731">
        <f t="shared" si="1"/>
        <v>0</v>
      </c>
      <c r="I14" s="731">
        <f t="shared" si="1"/>
        <v>0</v>
      </c>
      <c r="J14" s="731">
        <f t="shared" si="1"/>
        <v>1</v>
      </c>
      <c r="K14" s="731">
        <f t="shared" si="1"/>
        <v>2</v>
      </c>
      <c r="L14" s="731">
        <f t="shared" si="1"/>
        <v>14</v>
      </c>
      <c r="M14" s="731">
        <f t="shared" si="1"/>
        <v>0</v>
      </c>
      <c r="N14" s="731">
        <f t="shared" si="1"/>
        <v>0</v>
      </c>
      <c r="O14" s="731">
        <f t="shared" si="1"/>
        <v>14</v>
      </c>
      <c r="P14" s="731">
        <f t="shared" si="1"/>
        <v>3</v>
      </c>
      <c r="Q14" s="731">
        <f t="shared" si="1"/>
        <v>18</v>
      </c>
      <c r="R14" s="731">
        <f t="shared" si="1"/>
        <v>0</v>
      </c>
      <c r="S14" s="731">
        <f t="shared" si="1"/>
        <v>7</v>
      </c>
      <c r="T14" s="731">
        <f t="shared" si="1"/>
        <v>1</v>
      </c>
    </row>
    <row r="15" spans="1:20" ht="16.5" customHeight="1">
      <c r="A15" s="239" t="s">
        <v>212</v>
      </c>
      <c r="B15" s="425" t="s">
        <v>446</v>
      </c>
      <c r="C15" s="565">
        <f aca="true" t="shared" si="2" ref="C15:C24">D15+T15</f>
        <v>17</v>
      </c>
      <c r="D15" s="565">
        <f aca="true" t="shared" si="3" ref="D15:D24">E15+F15+G15+H15+I15+J15+K15+L15+M15+N15+O15+P15+Q15+R15+S15</f>
        <v>16</v>
      </c>
      <c r="E15" s="324">
        <v>0</v>
      </c>
      <c r="F15" s="324">
        <v>1</v>
      </c>
      <c r="G15" s="324">
        <v>9</v>
      </c>
      <c r="H15" s="323">
        <v>0</v>
      </c>
      <c r="I15" s="323">
        <v>0</v>
      </c>
      <c r="J15" s="324">
        <v>1</v>
      </c>
      <c r="K15" s="323">
        <v>0</v>
      </c>
      <c r="L15" s="323">
        <v>3</v>
      </c>
      <c r="M15" s="323">
        <v>0</v>
      </c>
      <c r="N15" s="323">
        <v>0</v>
      </c>
      <c r="O15" s="323">
        <v>0</v>
      </c>
      <c r="P15" s="323">
        <v>0</v>
      </c>
      <c r="Q15" s="323">
        <v>2</v>
      </c>
      <c r="R15" s="323">
        <v>0</v>
      </c>
      <c r="S15" s="323">
        <v>0</v>
      </c>
      <c r="T15" s="323">
        <v>1</v>
      </c>
    </row>
    <row r="16" spans="1:20" ht="18" customHeight="1">
      <c r="A16" s="239" t="s">
        <v>213</v>
      </c>
      <c r="B16" s="425" t="s">
        <v>447</v>
      </c>
      <c r="C16" s="565">
        <f t="shared" si="2"/>
        <v>12</v>
      </c>
      <c r="D16" s="565">
        <f t="shared" si="3"/>
        <v>12</v>
      </c>
      <c r="E16" s="324">
        <v>0</v>
      </c>
      <c r="F16" s="324">
        <v>1</v>
      </c>
      <c r="G16" s="324">
        <v>3</v>
      </c>
      <c r="H16" s="323">
        <v>0</v>
      </c>
      <c r="I16" s="323">
        <v>0</v>
      </c>
      <c r="J16" s="323">
        <v>0</v>
      </c>
      <c r="K16" s="323">
        <v>0</v>
      </c>
      <c r="L16" s="323">
        <v>3</v>
      </c>
      <c r="M16" s="323">
        <v>0</v>
      </c>
      <c r="N16" s="323">
        <v>0</v>
      </c>
      <c r="O16" s="323">
        <v>1</v>
      </c>
      <c r="P16" s="323">
        <v>1</v>
      </c>
      <c r="Q16" s="323">
        <v>2</v>
      </c>
      <c r="R16" s="323">
        <v>0</v>
      </c>
      <c r="S16" s="323">
        <v>1</v>
      </c>
      <c r="T16" s="323">
        <v>0</v>
      </c>
    </row>
    <row r="17" spans="1:20" ht="17.25" customHeight="1">
      <c r="A17" s="239" t="s">
        <v>214</v>
      </c>
      <c r="B17" s="425" t="s">
        <v>448</v>
      </c>
      <c r="C17" s="565">
        <f t="shared" si="2"/>
        <v>13</v>
      </c>
      <c r="D17" s="565">
        <f t="shared" si="3"/>
        <v>13</v>
      </c>
      <c r="E17" s="324">
        <v>0</v>
      </c>
      <c r="F17" s="324">
        <v>0</v>
      </c>
      <c r="G17" s="324">
        <v>6</v>
      </c>
      <c r="H17" s="323">
        <v>0</v>
      </c>
      <c r="I17" s="323">
        <v>0</v>
      </c>
      <c r="J17" s="323">
        <v>0</v>
      </c>
      <c r="K17" s="323">
        <v>0</v>
      </c>
      <c r="L17" s="323">
        <v>1</v>
      </c>
      <c r="M17" s="323">
        <v>0</v>
      </c>
      <c r="N17" s="323">
        <v>0</v>
      </c>
      <c r="O17" s="323">
        <v>3</v>
      </c>
      <c r="P17" s="323">
        <v>0</v>
      </c>
      <c r="Q17" s="323">
        <v>2</v>
      </c>
      <c r="R17" s="323">
        <v>0</v>
      </c>
      <c r="S17" s="323">
        <v>1</v>
      </c>
      <c r="T17" s="323">
        <v>0</v>
      </c>
    </row>
    <row r="18" spans="1:20" ht="18" customHeight="1">
      <c r="A18" s="239" t="s">
        <v>296</v>
      </c>
      <c r="B18" s="425" t="s">
        <v>449</v>
      </c>
      <c r="C18" s="565">
        <f t="shared" si="2"/>
        <v>11</v>
      </c>
      <c r="D18" s="565">
        <f t="shared" si="3"/>
        <v>11</v>
      </c>
      <c r="E18" s="324">
        <v>0</v>
      </c>
      <c r="F18" s="324">
        <v>0</v>
      </c>
      <c r="G18" s="324">
        <v>6</v>
      </c>
      <c r="H18" s="323">
        <v>0</v>
      </c>
      <c r="I18" s="323">
        <v>0</v>
      </c>
      <c r="J18" s="323">
        <v>0</v>
      </c>
      <c r="K18" s="323">
        <v>0</v>
      </c>
      <c r="L18" s="323">
        <v>1</v>
      </c>
      <c r="M18" s="323">
        <v>0</v>
      </c>
      <c r="N18" s="323">
        <v>0</v>
      </c>
      <c r="O18" s="323">
        <v>1</v>
      </c>
      <c r="P18" s="323">
        <v>1</v>
      </c>
      <c r="Q18" s="323">
        <v>2</v>
      </c>
      <c r="R18" s="323">
        <v>0</v>
      </c>
      <c r="S18" s="323">
        <v>0</v>
      </c>
      <c r="T18" s="323">
        <v>0</v>
      </c>
    </row>
    <row r="19" spans="1:20" ht="18" customHeight="1">
      <c r="A19" s="239" t="s">
        <v>297</v>
      </c>
      <c r="B19" s="425" t="s">
        <v>450</v>
      </c>
      <c r="C19" s="565">
        <f t="shared" si="2"/>
        <v>11</v>
      </c>
      <c r="D19" s="565">
        <f t="shared" si="3"/>
        <v>11</v>
      </c>
      <c r="E19" s="324">
        <v>0</v>
      </c>
      <c r="F19" s="324">
        <v>0</v>
      </c>
      <c r="G19" s="324">
        <v>4</v>
      </c>
      <c r="H19" s="323">
        <v>0</v>
      </c>
      <c r="I19" s="323">
        <v>0</v>
      </c>
      <c r="J19" s="323">
        <v>0</v>
      </c>
      <c r="K19" s="323">
        <v>0</v>
      </c>
      <c r="L19" s="323">
        <v>2</v>
      </c>
      <c r="M19" s="323">
        <v>0</v>
      </c>
      <c r="N19" s="323">
        <v>0</v>
      </c>
      <c r="O19" s="323">
        <v>1</v>
      </c>
      <c r="P19" s="323">
        <v>1</v>
      </c>
      <c r="Q19" s="323">
        <v>2</v>
      </c>
      <c r="R19" s="323">
        <v>0</v>
      </c>
      <c r="S19" s="323">
        <v>1</v>
      </c>
      <c r="T19" s="323">
        <v>0</v>
      </c>
    </row>
    <row r="20" spans="1:20" ht="18" customHeight="1">
      <c r="A20" s="239" t="s">
        <v>298</v>
      </c>
      <c r="B20" s="425" t="s">
        <v>451</v>
      </c>
      <c r="C20" s="565">
        <f t="shared" si="2"/>
        <v>9</v>
      </c>
      <c r="D20" s="565">
        <f t="shared" si="3"/>
        <v>8</v>
      </c>
      <c r="E20" s="324">
        <v>0</v>
      </c>
      <c r="F20" s="324">
        <v>0</v>
      </c>
      <c r="G20" s="324">
        <v>2</v>
      </c>
      <c r="H20" s="323">
        <v>0</v>
      </c>
      <c r="I20" s="323">
        <v>0</v>
      </c>
      <c r="J20" s="323">
        <v>0</v>
      </c>
      <c r="K20" s="324">
        <v>1</v>
      </c>
      <c r="L20" s="323">
        <v>0</v>
      </c>
      <c r="M20" s="323">
        <v>0</v>
      </c>
      <c r="N20" s="323">
        <v>0</v>
      </c>
      <c r="O20" s="323">
        <v>3</v>
      </c>
      <c r="P20" s="323">
        <v>0</v>
      </c>
      <c r="Q20" s="323">
        <v>2</v>
      </c>
      <c r="R20" s="323">
        <v>0</v>
      </c>
      <c r="S20" s="323">
        <v>0</v>
      </c>
      <c r="T20" s="323">
        <v>1</v>
      </c>
    </row>
    <row r="21" spans="1:20" ht="18.75" customHeight="1">
      <c r="A21" s="239" t="s">
        <v>299</v>
      </c>
      <c r="B21" s="425" t="s">
        <v>452</v>
      </c>
      <c r="C21" s="565">
        <f t="shared" si="2"/>
        <v>12</v>
      </c>
      <c r="D21" s="565">
        <f t="shared" si="3"/>
        <v>12</v>
      </c>
      <c r="E21" s="324">
        <v>0</v>
      </c>
      <c r="F21" s="324">
        <v>1</v>
      </c>
      <c r="G21" s="324">
        <v>4</v>
      </c>
      <c r="H21" s="323">
        <v>0</v>
      </c>
      <c r="I21" s="323">
        <v>0</v>
      </c>
      <c r="J21" s="323">
        <v>0</v>
      </c>
      <c r="K21" s="323">
        <v>0</v>
      </c>
      <c r="L21" s="323">
        <v>4</v>
      </c>
      <c r="M21" s="323">
        <v>0</v>
      </c>
      <c r="N21" s="323">
        <v>0</v>
      </c>
      <c r="O21" s="323">
        <v>1</v>
      </c>
      <c r="P21" s="323">
        <v>0</v>
      </c>
      <c r="Q21" s="323">
        <v>2</v>
      </c>
      <c r="R21" s="323">
        <v>0</v>
      </c>
      <c r="S21" s="323">
        <v>0</v>
      </c>
      <c r="T21" s="323">
        <v>0</v>
      </c>
    </row>
    <row r="22" spans="1:20" ht="18" customHeight="1">
      <c r="A22" s="239" t="s">
        <v>300</v>
      </c>
      <c r="B22" s="425" t="s">
        <v>453</v>
      </c>
      <c r="C22" s="565">
        <f t="shared" si="2"/>
        <v>9</v>
      </c>
      <c r="D22" s="565">
        <f t="shared" si="3"/>
        <v>9</v>
      </c>
      <c r="E22" s="324">
        <v>0</v>
      </c>
      <c r="F22" s="324">
        <v>0</v>
      </c>
      <c r="G22" s="324">
        <v>4</v>
      </c>
      <c r="H22" s="323">
        <v>0</v>
      </c>
      <c r="I22" s="323">
        <v>0</v>
      </c>
      <c r="J22" s="323">
        <v>0</v>
      </c>
      <c r="K22" s="323">
        <v>0</v>
      </c>
      <c r="L22" s="323">
        <v>0</v>
      </c>
      <c r="M22" s="323">
        <v>0</v>
      </c>
      <c r="N22" s="323">
        <v>0</v>
      </c>
      <c r="O22" s="323">
        <v>2</v>
      </c>
      <c r="P22" s="323">
        <v>0</v>
      </c>
      <c r="Q22" s="323">
        <v>2</v>
      </c>
      <c r="R22" s="323">
        <v>0</v>
      </c>
      <c r="S22" s="323">
        <v>1</v>
      </c>
      <c r="T22" s="323">
        <v>0</v>
      </c>
    </row>
    <row r="23" spans="1:20" ht="18" customHeight="1">
      <c r="A23" s="239" t="s">
        <v>301</v>
      </c>
      <c r="B23" s="425" t="s">
        <v>454</v>
      </c>
      <c r="C23" s="565">
        <f t="shared" si="2"/>
        <v>8</v>
      </c>
      <c r="D23" s="565">
        <f t="shared" si="3"/>
        <v>9</v>
      </c>
      <c r="E23" s="324">
        <v>0</v>
      </c>
      <c r="F23" s="324">
        <v>0</v>
      </c>
      <c r="G23" s="324">
        <v>4</v>
      </c>
      <c r="H23" s="323">
        <v>0</v>
      </c>
      <c r="I23" s="323">
        <v>0</v>
      </c>
      <c r="J23" s="323">
        <v>0</v>
      </c>
      <c r="K23" s="323">
        <v>0</v>
      </c>
      <c r="L23" s="323">
        <v>0</v>
      </c>
      <c r="M23" s="323">
        <v>0</v>
      </c>
      <c r="N23" s="323">
        <v>0</v>
      </c>
      <c r="O23" s="323">
        <v>2</v>
      </c>
      <c r="P23" s="323">
        <v>0</v>
      </c>
      <c r="Q23" s="323">
        <v>1</v>
      </c>
      <c r="R23" s="323">
        <v>0</v>
      </c>
      <c r="S23" s="323">
        <v>2</v>
      </c>
      <c r="T23" s="323">
        <v>-1</v>
      </c>
    </row>
    <row r="24" spans="1:20" ht="19.5" customHeight="1" thickBot="1">
      <c r="A24" s="240" t="s">
        <v>345</v>
      </c>
      <c r="B24" s="684" t="s">
        <v>455</v>
      </c>
      <c r="C24" s="692">
        <f t="shared" si="2"/>
        <v>5</v>
      </c>
      <c r="D24" s="692">
        <f t="shared" si="3"/>
        <v>5</v>
      </c>
      <c r="E24" s="694">
        <v>0</v>
      </c>
      <c r="F24" s="694">
        <v>0</v>
      </c>
      <c r="G24" s="694">
        <v>2</v>
      </c>
      <c r="H24" s="693">
        <v>0</v>
      </c>
      <c r="I24" s="693">
        <v>0</v>
      </c>
      <c r="J24" s="693">
        <v>0</v>
      </c>
      <c r="K24" s="693">
        <v>1</v>
      </c>
      <c r="L24" s="693">
        <v>0</v>
      </c>
      <c r="M24" s="693">
        <v>0</v>
      </c>
      <c r="N24" s="693">
        <v>0</v>
      </c>
      <c r="O24" s="693">
        <v>0</v>
      </c>
      <c r="P24" s="693">
        <v>0</v>
      </c>
      <c r="Q24" s="693">
        <v>1</v>
      </c>
      <c r="R24" s="693">
        <v>0</v>
      </c>
      <c r="S24" s="693">
        <v>1</v>
      </c>
      <c r="T24" s="693">
        <v>0</v>
      </c>
    </row>
    <row r="25" spans="1:20" ht="20.25" customHeight="1" thickTop="1">
      <c r="A25" s="285"/>
      <c r="B25" s="866" t="s">
        <v>736</v>
      </c>
      <c r="C25" s="866"/>
      <c r="D25" s="866"/>
      <c r="E25" s="244"/>
      <c r="F25" s="242"/>
      <c r="G25" s="242"/>
      <c r="H25" s="242"/>
      <c r="I25" s="242"/>
      <c r="J25" s="242"/>
      <c r="K25" s="242" t="s">
        <v>537</v>
      </c>
      <c r="L25" s="243"/>
      <c r="M25" s="742" t="s">
        <v>736</v>
      </c>
      <c r="N25" s="742"/>
      <c r="O25" s="742"/>
      <c r="P25" s="742"/>
      <c r="Q25" s="742"/>
      <c r="R25" s="742"/>
      <c r="S25" s="742"/>
      <c r="T25" s="742"/>
    </row>
    <row r="26" spans="1:20" ht="16.5">
      <c r="A26" s="285"/>
      <c r="B26" s="833" t="s">
        <v>538</v>
      </c>
      <c r="C26" s="833"/>
      <c r="D26" s="833"/>
      <c r="E26" s="244"/>
      <c r="F26" s="245"/>
      <c r="G26" s="245"/>
      <c r="H26" s="245"/>
      <c r="I26" s="245"/>
      <c r="J26" s="245"/>
      <c r="K26" s="245"/>
      <c r="L26" s="243"/>
      <c r="M26" s="743" t="s">
        <v>660</v>
      </c>
      <c r="N26" s="743"/>
      <c r="O26" s="743"/>
      <c r="P26" s="743"/>
      <c r="Q26" s="743"/>
      <c r="R26" s="743"/>
      <c r="S26" s="743"/>
      <c r="T26" s="743"/>
    </row>
    <row r="27" spans="13:20" ht="16.5">
      <c r="M27" s="879" t="s">
        <v>656</v>
      </c>
      <c r="N27" s="879"/>
      <c r="O27" s="879"/>
      <c r="P27" s="879"/>
      <c r="Q27" s="879"/>
      <c r="R27" s="879"/>
      <c r="S27" s="879"/>
      <c r="T27" s="879"/>
    </row>
    <row r="32" spans="2:20" ht="16.5">
      <c r="B32" s="879" t="s">
        <v>390</v>
      </c>
      <c r="C32" s="879"/>
      <c r="D32" s="879"/>
      <c r="M32" s="879" t="s">
        <v>2</v>
      </c>
      <c r="N32" s="879"/>
      <c r="O32" s="879"/>
      <c r="P32" s="879"/>
      <c r="Q32" s="879"/>
      <c r="R32" s="879"/>
      <c r="S32" s="879"/>
      <c r="T32" s="879"/>
    </row>
  </sheetData>
  <sheetProtection/>
  <mergeCells count="30">
    <mergeCell ref="A2:C2"/>
    <mergeCell ref="D2:N3"/>
    <mergeCell ref="A3:C3"/>
    <mergeCell ref="A4:C4"/>
    <mergeCell ref="D4:N4"/>
    <mergeCell ref="A5:C5"/>
    <mergeCell ref="A7:B10"/>
    <mergeCell ref="C7:C10"/>
    <mergeCell ref="D7:S7"/>
    <mergeCell ref="S9:S10"/>
    <mergeCell ref="D5:N5"/>
    <mergeCell ref="T7:T10"/>
    <mergeCell ref="D8:D10"/>
    <mergeCell ref="E8:S8"/>
    <mergeCell ref="E9:G9"/>
    <mergeCell ref="H9:J9"/>
    <mergeCell ref="K9:L9"/>
    <mergeCell ref="M9:O9"/>
    <mergeCell ref="P9:P10"/>
    <mergeCell ref="Q9:Q10"/>
    <mergeCell ref="R9:R10"/>
    <mergeCell ref="B26:D26"/>
    <mergeCell ref="M26:T26"/>
    <mergeCell ref="M27:T27"/>
    <mergeCell ref="B32:D32"/>
    <mergeCell ref="M32:T32"/>
    <mergeCell ref="A11:B11"/>
    <mergeCell ref="A12:B12"/>
    <mergeCell ref="B25:D25"/>
    <mergeCell ref="M25:T25"/>
  </mergeCells>
  <printOptions/>
  <pageMargins left="0" right="0" top="0" bottom="0"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W31"/>
  <sheetViews>
    <sheetView zoomScalePageLayoutView="0" workbookViewId="0" topLeftCell="A7">
      <selection activeCell="N26" sqref="N26:U26"/>
    </sheetView>
  </sheetViews>
  <sheetFormatPr defaultColWidth="9.00390625" defaultRowHeight="15.75"/>
  <cols>
    <col min="1" max="1" width="3.75390625" style="0" customWidth="1"/>
    <col min="2" max="2" width="22.25390625" style="0" customWidth="1"/>
    <col min="3" max="3" width="6.125" style="0" customWidth="1"/>
    <col min="4" max="4" width="6.25390625" style="0" customWidth="1"/>
    <col min="5" max="5" width="5.75390625" style="0" customWidth="1"/>
    <col min="6" max="6" width="6.00390625" style="0" customWidth="1"/>
    <col min="7" max="7" width="5.75390625" style="0" customWidth="1"/>
    <col min="8" max="8" width="5.625" style="0" customWidth="1"/>
    <col min="9" max="9" width="5.75390625" style="0" customWidth="1"/>
    <col min="10" max="10" width="5.875" style="0" customWidth="1"/>
    <col min="11" max="11" width="4.875" style="0" customWidth="1"/>
    <col min="12" max="12" width="5.375" style="0" customWidth="1"/>
    <col min="13" max="13" width="5.875" style="0" customWidth="1"/>
    <col min="14" max="14" width="5.25390625" style="0" customWidth="1"/>
    <col min="15" max="15" width="5.625" style="0" customWidth="1"/>
    <col min="16" max="16" width="5.875" style="0" customWidth="1"/>
    <col min="17" max="17" width="5.75390625" style="0" customWidth="1"/>
    <col min="18" max="18" width="6.375" style="0" customWidth="1"/>
    <col min="19" max="19" width="5.50390625" style="0" customWidth="1"/>
    <col min="20" max="20" width="5.25390625" style="0" customWidth="1"/>
    <col min="21" max="21" width="5.50390625" style="0" customWidth="1"/>
  </cols>
  <sheetData>
    <row r="1" spans="1:21" ht="16.5">
      <c r="A1" s="942" t="s">
        <v>487</v>
      </c>
      <c r="B1" s="942"/>
      <c r="C1" s="942"/>
      <c r="D1" s="942"/>
      <c r="E1" s="261"/>
      <c r="F1" s="943" t="s">
        <v>488</v>
      </c>
      <c r="G1" s="943"/>
      <c r="H1" s="943"/>
      <c r="I1" s="943"/>
      <c r="J1" s="943"/>
      <c r="K1" s="943"/>
      <c r="L1" s="943"/>
      <c r="M1" s="943"/>
      <c r="N1" s="943"/>
      <c r="O1" s="262"/>
      <c r="P1" s="263" t="s">
        <v>379</v>
      </c>
      <c r="Q1" s="263"/>
      <c r="R1" s="263"/>
      <c r="S1" s="263"/>
      <c r="T1" s="263"/>
      <c r="U1" s="260"/>
    </row>
    <row r="2" spans="1:21" ht="16.5">
      <c r="A2" s="944" t="s">
        <v>460</v>
      </c>
      <c r="B2" s="944"/>
      <c r="C2" s="944"/>
      <c r="D2" s="944"/>
      <c r="E2" s="944"/>
      <c r="F2" s="943"/>
      <c r="G2" s="943"/>
      <c r="H2" s="943"/>
      <c r="I2" s="943"/>
      <c r="J2" s="943"/>
      <c r="K2" s="943"/>
      <c r="L2" s="943"/>
      <c r="M2" s="943"/>
      <c r="N2" s="943"/>
      <c r="O2" s="262"/>
      <c r="P2" s="264" t="s">
        <v>388</v>
      </c>
      <c r="Q2" s="212"/>
      <c r="R2" s="212"/>
      <c r="S2" s="212"/>
      <c r="T2" s="212"/>
      <c r="U2" s="260"/>
    </row>
    <row r="3" spans="1:21" ht="16.5">
      <c r="A3" s="944" t="s">
        <v>486</v>
      </c>
      <c r="B3" s="944"/>
      <c r="C3" s="944"/>
      <c r="D3" s="944"/>
      <c r="E3" s="944"/>
      <c r="F3" s="754" t="s">
        <v>0</v>
      </c>
      <c r="G3" s="754"/>
      <c r="H3" s="754"/>
      <c r="I3" s="754"/>
      <c r="J3" s="754"/>
      <c r="K3" s="754"/>
      <c r="L3" s="754"/>
      <c r="M3" s="754"/>
      <c r="N3" s="754"/>
      <c r="O3" s="265"/>
      <c r="P3" s="212" t="s">
        <v>378</v>
      </c>
      <c r="Q3" s="212"/>
      <c r="R3" s="212"/>
      <c r="S3" s="212"/>
      <c r="T3" s="212"/>
      <c r="U3" s="260"/>
    </row>
    <row r="4" spans="1:21" ht="15.75">
      <c r="A4" s="935" t="s">
        <v>461</v>
      </c>
      <c r="B4" s="935"/>
      <c r="C4" s="935"/>
      <c r="D4" s="935"/>
      <c r="E4" s="935"/>
      <c r="F4" s="946" t="s">
        <v>1</v>
      </c>
      <c r="G4" s="946"/>
      <c r="H4" s="946"/>
      <c r="I4" s="946"/>
      <c r="J4" s="946"/>
      <c r="K4" s="946"/>
      <c r="L4" s="946"/>
      <c r="M4" s="946"/>
      <c r="N4" s="946"/>
      <c r="O4" s="946"/>
      <c r="P4" s="266" t="s">
        <v>392</v>
      </c>
      <c r="Q4" s="266"/>
      <c r="R4" s="215"/>
      <c r="S4" s="215"/>
      <c r="T4" s="215"/>
      <c r="U4" s="260"/>
    </row>
    <row r="5" spans="1:21" ht="14.25" customHeight="1">
      <c r="A5" s="260"/>
      <c r="B5" s="260"/>
      <c r="C5" s="260"/>
      <c r="D5" s="260"/>
      <c r="E5" s="260"/>
      <c r="F5" s="260"/>
      <c r="G5" s="260"/>
      <c r="H5" s="260"/>
      <c r="I5" s="260"/>
      <c r="J5" s="260"/>
      <c r="K5" s="260"/>
      <c r="L5" s="260"/>
      <c r="M5" s="260"/>
      <c r="N5" s="260"/>
      <c r="O5" s="260"/>
      <c r="P5" s="267" t="s">
        <v>489</v>
      </c>
      <c r="Q5" s="268"/>
      <c r="R5" s="268"/>
      <c r="S5" s="268"/>
      <c r="T5" s="268"/>
      <c r="U5" s="260"/>
    </row>
    <row r="6" spans="1:21" ht="15.75">
      <c r="A6" s="854" t="s">
        <v>294</v>
      </c>
      <c r="B6" s="855"/>
      <c r="C6" s="918" t="s">
        <v>490</v>
      </c>
      <c r="D6" s="919"/>
      <c r="E6" s="920"/>
      <c r="F6" s="923" t="s">
        <v>491</v>
      </c>
      <c r="G6" s="924"/>
      <c r="H6" s="924"/>
      <c r="I6" s="924"/>
      <c r="J6" s="924"/>
      <c r="K6" s="924"/>
      <c r="L6" s="924"/>
      <c r="M6" s="924"/>
      <c r="N6" s="924"/>
      <c r="O6" s="925"/>
      <c r="P6" s="936" t="s">
        <v>492</v>
      </c>
      <c r="Q6" s="936"/>
      <c r="R6" s="936"/>
      <c r="S6" s="936"/>
      <c r="T6" s="936"/>
      <c r="U6" s="936"/>
    </row>
    <row r="7" spans="1:21" ht="15.75">
      <c r="A7" s="856"/>
      <c r="B7" s="857"/>
      <c r="C7" s="921"/>
      <c r="D7" s="922"/>
      <c r="E7" s="922"/>
      <c r="F7" s="918" t="s">
        <v>493</v>
      </c>
      <c r="G7" s="919"/>
      <c r="H7" s="920"/>
      <c r="I7" s="936" t="s">
        <v>467</v>
      </c>
      <c r="J7" s="936"/>
      <c r="K7" s="936"/>
      <c r="L7" s="936"/>
      <c r="M7" s="936"/>
      <c r="N7" s="936"/>
      <c r="O7" s="936"/>
      <c r="P7" s="926" t="s">
        <v>494</v>
      </c>
      <c r="Q7" s="939" t="s">
        <v>106</v>
      </c>
      <c r="R7" s="940"/>
      <c r="S7" s="940"/>
      <c r="T7" s="940"/>
      <c r="U7" s="941"/>
    </row>
    <row r="8" spans="1:21" ht="21.75" customHeight="1">
      <c r="A8" s="856"/>
      <c r="B8" s="857"/>
      <c r="C8" s="921"/>
      <c r="D8" s="922"/>
      <c r="E8" s="922"/>
      <c r="F8" s="928"/>
      <c r="G8" s="937"/>
      <c r="H8" s="938"/>
      <c r="I8" s="936" t="s">
        <v>468</v>
      </c>
      <c r="J8" s="936"/>
      <c r="K8" s="936"/>
      <c r="L8" s="936" t="s">
        <v>495</v>
      </c>
      <c r="M8" s="936"/>
      <c r="N8" s="936"/>
      <c r="O8" s="936"/>
      <c r="P8" s="932"/>
      <c r="Q8" s="926" t="s">
        <v>470</v>
      </c>
      <c r="R8" s="926" t="s">
        <v>496</v>
      </c>
      <c r="S8" s="926" t="s">
        <v>497</v>
      </c>
      <c r="T8" s="926" t="s">
        <v>498</v>
      </c>
      <c r="U8" s="926" t="s">
        <v>499</v>
      </c>
    </row>
    <row r="9" spans="1:21" ht="15.75">
      <c r="A9" s="856"/>
      <c r="B9" s="857"/>
      <c r="C9" s="926" t="s">
        <v>500</v>
      </c>
      <c r="D9" s="918" t="s">
        <v>106</v>
      </c>
      <c r="E9" s="919"/>
      <c r="F9" s="926" t="s">
        <v>501</v>
      </c>
      <c r="G9" s="923" t="s">
        <v>106</v>
      </c>
      <c r="H9" s="925"/>
      <c r="I9" s="926" t="s">
        <v>502</v>
      </c>
      <c r="J9" s="923" t="s">
        <v>106</v>
      </c>
      <c r="K9" s="919"/>
      <c r="L9" s="926" t="s">
        <v>501</v>
      </c>
      <c r="M9" s="923" t="s">
        <v>106</v>
      </c>
      <c r="N9" s="924"/>
      <c r="O9" s="925"/>
      <c r="P9" s="932"/>
      <c r="Q9" s="932"/>
      <c r="R9" s="933"/>
      <c r="S9" s="930"/>
      <c r="T9" s="932"/>
      <c r="U9" s="932"/>
    </row>
    <row r="10" spans="1:21" ht="15.75">
      <c r="A10" s="856"/>
      <c r="B10" s="857"/>
      <c r="C10" s="932"/>
      <c r="D10" s="926" t="s">
        <v>503</v>
      </c>
      <c r="E10" s="926" t="s">
        <v>504</v>
      </c>
      <c r="F10" s="933"/>
      <c r="G10" s="921" t="s">
        <v>505</v>
      </c>
      <c r="H10" s="932" t="s">
        <v>506</v>
      </c>
      <c r="I10" s="933"/>
      <c r="J10" s="932" t="s">
        <v>507</v>
      </c>
      <c r="K10" s="936" t="s">
        <v>508</v>
      </c>
      <c r="L10" s="932"/>
      <c r="M10" s="936" t="s">
        <v>509</v>
      </c>
      <c r="N10" s="936" t="s">
        <v>510</v>
      </c>
      <c r="O10" s="936" t="s">
        <v>511</v>
      </c>
      <c r="P10" s="932"/>
      <c r="Q10" s="932"/>
      <c r="R10" s="933"/>
      <c r="S10" s="930"/>
      <c r="T10" s="932"/>
      <c r="U10" s="932"/>
    </row>
    <row r="11" spans="1:21" ht="97.5" customHeight="1">
      <c r="A11" s="858"/>
      <c r="B11" s="859"/>
      <c r="C11" s="927"/>
      <c r="D11" s="927"/>
      <c r="E11" s="927"/>
      <c r="F11" s="934"/>
      <c r="G11" s="928"/>
      <c r="H11" s="927"/>
      <c r="I11" s="934"/>
      <c r="J11" s="927"/>
      <c r="K11" s="945"/>
      <c r="L11" s="927"/>
      <c r="M11" s="936"/>
      <c r="N11" s="936"/>
      <c r="O11" s="936"/>
      <c r="P11" s="927"/>
      <c r="Q11" s="927"/>
      <c r="R11" s="934"/>
      <c r="S11" s="931"/>
      <c r="T11" s="927"/>
      <c r="U11" s="927"/>
    </row>
    <row r="12" spans="1:21" ht="12" customHeight="1">
      <c r="A12" s="270"/>
      <c r="B12" s="356" t="s">
        <v>484</v>
      </c>
      <c r="C12" s="357">
        <v>1</v>
      </c>
      <c r="D12" s="358">
        <v>2</v>
      </c>
      <c r="E12" s="357">
        <v>3</v>
      </c>
      <c r="F12" s="358">
        <v>4</v>
      </c>
      <c r="G12" s="357">
        <v>5</v>
      </c>
      <c r="H12" s="358">
        <v>6</v>
      </c>
      <c r="I12" s="357">
        <v>7</v>
      </c>
      <c r="J12" s="358">
        <v>8</v>
      </c>
      <c r="K12" s="357">
        <v>9</v>
      </c>
      <c r="L12" s="358">
        <v>10</v>
      </c>
      <c r="M12" s="357">
        <v>11</v>
      </c>
      <c r="N12" s="358">
        <v>12</v>
      </c>
      <c r="O12" s="357">
        <v>13</v>
      </c>
      <c r="P12" s="358">
        <v>14</v>
      </c>
      <c r="Q12" s="357">
        <v>15</v>
      </c>
      <c r="R12" s="358">
        <v>16</v>
      </c>
      <c r="S12" s="357">
        <v>17</v>
      </c>
      <c r="T12" s="358">
        <v>18</v>
      </c>
      <c r="U12" s="357">
        <v>19</v>
      </c>
    </row>
    <row r="13" spans="1:23" ht="15.75">
      <c r="A13" s="916" t="s">
        <v>165</v>
      </c>
      <c r="B13" s="917"/>
      <c r="C13" s="503">
        <f>C14+C15</f>
        <v>3</v>
      </c>
      <c r="D13" s="503">
        <f aca="true" t="shared" si="0" ref="D13:U13">D14+D15</f>
        <v>1</v>
      </c>
      <c r="E13" s="503">
        <f t="shared" si="0"/>
        <v>2</v>
      </c>
      <c r="F13" s="503">
        <f t="shared" si="0"/>
        <v>3</v>
      </c>
      <c r="G13" s="503">
        <f t="shared" si="0"/>
        <v>1</v>
      </c>
      <c r="H13" s="503">
        <f t="shared" si="0"/>
        <v>2</v>
      </c>
      <c r="I13" s="503">
        <f t="shared" si="0"/>
        <v>3</v>
      </c>
      <c r="J13" s="503">
        <f t="shared" si="0"/>
        <v>3</v>
      </c>
      <c r="K13" s="503">
        <f t="shared" si="0"/>
        <v>0</v>
      </c>
      <c r="L13" s="503">
        <f t="shared" si="0"/>
        <v>0</v>
      </c>
      <c r="M13" s="503">
        <f t="shared" si="0"/>
        <v>0</v>
      </c>
      <c r="N13" s="503">
        <f t="shared" si="0"/>
        <v>0</v>
      </c>
      <c r="O13" s="503">
        <f t="shared" si="0"/>
        <v>0</v>
      </c>
      <c r="P13" s="503">
        <f t="shared" si="0"/>
        <v>3</v>
      </c>
      <c r="Q13" s="503">
        <f t="shared" si="0"/>
        <v>0</v>
      </c>
      <c r="R13" s="503">
        <f t="shared" si="0"/>
        <v>0</v>
      </c>
      <c r="S13" s="503">
        <f t="shared" si="0"/>
        <v>1</v>
      </c>
      <c r="T13" s="503">
        <f t="shared" si="0"/>
        <v>1</v>
      </c>
      <c r="U13" s="503">
        <f t="shared" si="0"/>
        <v>1</v>
      </c>
      <c r="W13" s="398"/>
    </row>
    <row r="14" spans="1:23" ht="15.75">
      <c r="A14" s="271" t="s">
        <v>14</v>
      </c>
      <c r="B14" s="272" t="s">
        <v>512</v>
      </c>
      <c r="C14" s="504">
        <f>D14+E14</f>
        <v>1</v>
      </c>
      <c r="D14" s="465">
        <v>0</v>
      </c>
      <c r="E14" s="465">
        <v>1</v>
      </c>
      <c r="F14" s="504">
        <f>G14+H14</f>
        <v>1</v>
      </c>
      <c r="G14" s="354">
        <v>0</v>
      </c>
      <c r="H14" s="354">
        <v>1</v>
      </c>
      <c r="I14" s="700">
        <f>J14+K14+L14</f>
        <v>1</v>
      </c>
      <c r="J14" s="355">
        <v>1</v>
      </c>
      <c r="K14" s="355">
        <v>0</v>
      </c>
      <c r="L14" s="504">
        <f>M14+N14+O14</f>
        <v>0</v>
      </c>
      <c r="M14" s="355">
        <v>0</v>
      </c>
      <c r="N14" s="355">
        <v>0</v>
      </c>
      <c r="O14" s="355">
        <v>0</v>
      </c>
      <c r="P14" s="504">
        <f>Q14+R14+S14+T14+U14</f>
        <v>1</v>
      </c>
      <c r="Q14" s="355">
        <v>0</v>
      </c>
      <c r="R14" s="355">
        <v>0</v>
      </c>
      <c r="S14" s="355">
        <v>0</v>
      </c>
      <c r="T14" s="355">
        <v>0</v>
      </c>
      <c r="U14" s="355">
        <v>1</v>
      </c>
      <c r="W14" s="398"/>
    </row>
    <row r="15" spans="1:23" ht="15.75">
      <c r="A15" s="273" t="s">
        <v>15</v>
      </c>
      <c r="B15" s="272" t="s">
        <v>125</v>
      </c>
      <c r="C15" s="504">
        <f>C16+C17+C18+C19+C20+C21+C22+C23+C24+C25</f>
        <v>2</v>
      </c>
      <c r="D15" s="504">
        <f aca="true" t="shared" si="1" ref="D15:U15">D16+D17+D18+D19+D20+D21+D22+D23+D24+D25</f>
        <v>1</v>
      </c>
      <c r="E15" s="504">
        <f t="shared" si="1"/>
        <v>1</v>
      </c>
      <c r="F15" s="504">
        <f t="shared" si="1"/>
        <v>2</v>
      </c>
      <c r="G15" s="504">
        <f t="shared" si="1"/>
        <v>1</v>
      </c>
      <c r="H15" s="504">
        <f t="shared" si="1"/>
        <v>1</v>
      </c>
      <c r="I15" s="504">
        <f t="shared" si="1"/>
        <v>2</v>
      </c>
      <c r="J15" s="504">
        <f t="shared" si="1"/>
        <v>2</v>
      </c>
      <c r="K15" s="504">
        <f t="shared" si="1"/>
        <v>0</v>
      </c>
      <c r="L15" s="504">
        <f t="shared" si="1"/>
        <v>0</v>
      </c>
      <c r="M15" s="504">
        <f t="shared" si="1"/>
        <v>0</v>
      </c>
      <c r="N15" s="504">
        <f t="shared" si="1"/>
        <v>0</v>
      </c>
      <c r="O15" s="504">
        <f t="shared" si="1"/>
        <v>0</v>
      </c>
      <c r="P15" s="504">
        <f t="shared" si="1"/>
        <v>2</v>
      </c>
      <c r="Q15" s="504">
        <f t="shared" si="1"/>
        <v>0</v>
      </c>
      <c r="R15" s="504">
        <f t="shared" si="1"/>
        <v>0</v>
      </c>
      <c r="S15" s="504">
        <f t="shared" si="1"/>
        <v>1</v>
      </c>
      <c r="T15" s="504">
        <f t="shared" si="1"/>
        <v>1</v>
      </c>
      <c r="U15" s="504">
        <f t="shared" si="1"/>
        <v>0</v>
      </c>
      <c r="W15" s="398"/>
    </row>
    <row r="16" spans="1:23" ht="15.75">
      <c r="A16" s="239" t="s">
        <v>212</v>
      </c>
      <c r="B16" s="425" t="s">
        <v>446</v>
      </c>
      <c r="C16" s="505">
        <f>D16+E16</f>
        <v>1</v>
      </c>
      <c r="D16" s="465">
        <v>1</v>
      </c>
      <c r="E16" s="465">
        <v>0</v>
      </c>
      <c r="F16" s="505">
        <f>G16+H16</f>
        <v>1</v>
      </c>
      <c r="G16" s="354">
        <v>1</v>
      </c>
      <c r="H16" s="354">
        <v>0</v>
      </c>
      <c r="I16" s="506">
        <f>J16+K16</f>
        <v>1</v>
      </c>
      <c r="J16" s="355">
        <v>1</v>
      </c>
      <c r="K16" s="355">
        <v>0</v>
      </c>
      <c r="L16" s="505">
        <f>M16+N16+O16</f>
        <v>0</v>
      </c>
      <c r="M16" s="355">
        <v>0</v>
      </c>
      <c r="N16" s="355">
        <v>0</v>
      </c>
      <c r="O16" s="355">
        <v>0</v>
      </c>
      <c r="P16" s="505">
        <f>Q16+R16++S16+T16+U16</f>
        <v>1</v>
      </c>
      <c r="Q16" s="355">
        <v>0</v>
      </c>
      <c r="R16" s="355">
        <v>0</v>
      </c>
      <c r="S16" s="355">
        <v>1</v>
      </c>
      <c r="T16" s="355">
        <v>0</v>
      </c>
      <c r="U16" s="445">
        <v>0</v>
      </c>
      <c r="W16" s="398"/>
    </row>
    <row r="17" spans="1:23" ht="15.75">
      <c r="A17" s="239" t="s">
        <v>213</v>
      </c>
      <c r="B17" s="425" t="s">
        <v>447</v>
      </c>
      <c r="C17" s="505">
        <f aca="true" t="shared" si="2" ref="C17:C25">D17+E17</f>
        <v>0</v>
      </c>
      <c r="D17" s="465">
        <v>0</v>
      </c>
      <c r="E17" s="465">
        <v>0</v>
      </c>
      <c r="F17" s="505">
        <f aca="true" t="shared" si="3" ref="F17:F25">G17+H17</f>
        <v>0</v>
      </c>
      <c r="G17" s="354">
        <v>0</v>
      </c>
      <c r="H17" s="354">
        <v>0</v>
      </c>
      <c r="I17" s="506">
        <f aca="true" t="shared" si="4" ref="I17:I25">J17+K17</f>
        <v>0</v>
      </c>
      <c r="J17" s="355">
        <v>0</v>
      </c>
      <c r="K17" s="355">
        <v>0</v>
      </c>
      <c r="L17" s="505">
        <f aca="true" t="shared" si="5" ref="L17:L25">M17+N17+O17</f>
        <v>0</v>
      </c>
      <c r="M17" s="355">
        <v>0</v>
      </c>
      <c r="N17" s="355">
        <v>0</v>
      </c>
      <c r="O17" s="355">
        <v>0</v>
      </c>
      <c r="P17" s="505">
        <f aca="true" t="shared" si="6" ref="P17:P25">Q17+R17++S17+T17+U17</f>
        <v>0</v>
      </c>
      <c r="Q17" s="355">
        <v>0</v>
      </c>
      <c r="R17" s="355">
        <v>0</v>
      </c>
      <c r="S17" s="355">
        <v>0</v>
      </c>
      <c r="T17" s="355">
        <v>0</v>
      </c>
      <c r="U17" s="445">
        <v>0</v>
      </c>
      <c r="W17" s="398"/>
    </row>
    <row r="18" spans="1:23" ht="15.75">
      <c r="A18" s="239" t="s">
        <v>214</v>
      </c>
      <c r="B18" s="425" t="s">
        <v>448</v>
      </c>
      <c r="C18" s="505">
        <f t="shared" si="2"/>
        <v>1</v>
      </c>
      <c r="D18" s="574">
        <v>0</v>
      </c>
      <c r="E18" s="574">
        <v>1</v>
      </c>
      <c r="F18" s="505">
        <f t="shared" si="3"/>
        <v>1</v>
      </c>
      <c r="G18" s="354">
        <v>0</v>
      </c>
      <c r="H18" s="354">
        <v>1</v>
      </c>
      <c r="I18" s="506">
        <f t="shared" si="4"/>
        <v>1</v>
      </c>
      <c r="J18" s="355">
        <v>1</v>
      </c>
      <c r="K18" s="355">
        <v>0</v>
      </c>
      <c r="L18" s="505">
        <f t="shared" si="5"/>
        <v>0</v>
      </c>
      <c r="M18" s="355">
        <v>0</v>
      </c>
      <c r="N18" s="355">
        <v>0</v>
      </c>
      <c r="O18" s="355">
        <v>0</v>
      </c>
      <c r="P18" s="505">
        <f t="shared" si="6"/>
        <v>1</v>
      </c>
      <c r="Q18" s="355">
        <v>0</v>
      </c>
      <c r="R18" s="355">
        <v>0</v>
      </c>
      <c r="S18" s="355">
        <v>0</v>
      </c>
      <c r="T18" s="355">
        <v>1</v>
      </c>
      <c r="U18" s="445">
        <v>0</v>
      </c>
      <c r="W18" s="398"/>
    </row>
    <row r="19" spans="1:23" ht="15.75">
      <c r="A19" s="239" t="s">
        <v>296</v>
      </c>
      <c r="B19" s="425" t="s">
        <v>449</v>
      </c>
      <c r="C19" s="505">
        <f t="shared" si="2"/>
        <v>0</v>
      </c>
      <c r="D19" s="701">
        <v>0</v>
      </c>
      <c r="E19" s="701">
        <v>0</v>
      </c>
      <c r="F19" s="505">
        <f t="shared" si="3"/>
        <v>0</v>
      </c>
      <c r="G19" s="354">
        <v>0</v>
      </c>
      <c r="H19" s="354">
        <v>0</v>
      </c>
      <c r="I19" s="506">
        <f t="shared" si="4"/>
        <v>0</v>
      </c>
      <c r="J19" s="355">
        <v>0</v>
      </c>
      <c r="K19" s="355">
        <v>0</v>
      </c>
      <c r="L19" s="505">
        <f t="shared" si="5"/>
        <v>0</v>
      </c>
      <c r="M19" s="355">
        <v>0</v>
      </c>
      <c r="N19" s="355">
        <v>0</v>
      </c>
      <c r="O19" s="355">
        <v>0</v>
      </c>
      <c r="P19" s="505">
        <f t="shared" si="6"/>
        <v>0</v>
      </c>
      <c r="Q19" s="355">
        <v>0</v>
      </c>
      <c r="R19" s="355">
        <v>0</v>
      </c>
      <c r="S19" s="355">
        <v>0</v>
      </c>
      <c r="T19" s="355">
        <v>0</v>
      </c>
      <c r="U19" s="445">
        <v>0</v>
      </c>
      <c r="W19" s="398"/>
    </row>
    <row r="20" spans="1:23" ht="15.75">
      <c r="A20" s="239" t="s">
        <v>297</v>
      </c>
      <c r="B20" s="425" t="s">
        <v>450</v>
      </c>
      <c r="C20" s="505">
        <f t="shared" si="2"/>
        <v>0</v>
      </c>
      <c r="D20" s="701">
        <v>0</v>
      </c>
      <c r="E20" s="701">
        <v>0</v>
      </c>
      <c r="F20" s="505">
        <f t="shared" si="3"/>
        <v>0</v>
      </c>
      <c r="G20" s="354">
        <v>0</v>
      </c>
      <c r="H20" s="354">
        <v>0</v>
      </c>
      <c r="I20" s="506">
        <f t="shared" si="4"/>
        <v>0</v>
      </c>
      <c r="J20" s="355">
        <v>0</v>
      </c>
      <c r="K20" s="355">
        <v>0</v>
      </c>
      <c r="L20" s="505">
        <f t="shared" si="5"/>
        <v>0</v>
      </c>
      <c r="M20" s="355">
        <v>0</v>
      </c>
      <c r="N20" s="355">
        <v>0</v>
      </c>
      <c r="O20" s="355">
        <v>0</v>
      </c>
      <c r="P20" s="505">
        <f t="shared" si="6"/>
        <v>0</v>
      </c>
      <c r="Q20" s="355">
        <v>0</v>
      </c>
      <c r="R20" s="355">
        <v>0</v>
      </c>
      <c r="S20" s="355">
        <v>0</v>
      </c>
      <c r="T20" s="355">
        <v>0</v>
      </c>
      <c r="U20" s="445">
        <v>0</v>
      </c>
      <c r="W20" s="398"/>
    </row>
    <row r="21" spans="1:23" ht="15.75">
      <c r="A21" s="239" t="s">
        <v>298</v>
      </c>
      <c r="B21" s="425" t="s">
        <v>451</v>
      </c>
      <c r="C21" s="505">
        <f t="shared" si="2"/>
        <v>0</v>
      </c>
      <c r="D21" s="701">
        <v>0</v>
      </c>
      <c r="E21" s="701">
        <v>0</v>
      </c>
      <c r="F21" s="505">
        <f t="shared" si="3"/>
        <v>0</v>
      </c>
      <c r="G21" s="354">
        <v>0</v>
      </c>
      <c r="H21" s="354">
        <v>0</v>
      </c>
      <c r="I21" s="506">
        <f t="shared" si="4"/>
        <v>0</v>
      </c>
      <c r="J21" s="355">
        <v>0</v>
      </c>
      <c r="K21" s="355">
        <v>0</v>
      </c>
      <c r="L21" s="505">
        <f t="shared" si="5"/>
        <v>0</v>
      </c>
      <c r="M21" s="355">
        <v>0</v>
      </c>
      <c r="N21" s="355">
        <v>0</v>
      </c>
      <c r="O21" s="355">
        <v>0</v>
      </c>
      <c r="P21" s="505">
        <f t="shared" si="6"/>
        <v>0</v>
      </c>
      <c r="Q21" s="355">
        <v>0</v>
      </c>
      <c r="R21" s="355">
        <v>0</v>
      </c>
      <c r="S21" s="355">
        <v>0</v>
      </c>
      <c r="T21" s="355">
        <v>0</v>
      </c>
      <c r="U21" s="445">
        <v>0</v>
      </c>
      <c r="W21" s="398"/>
    </row>
    <row r="22" spans="1:23" ht="15.75">
      <c r="A22" s="239" t="s">
        <v>299</v>
      </c>
      <c r="B22" s="425" t="s">
        <v>452</v>
      </c>
      <c r="C22" s="505">
        <f t="shared" si="2"/>
        <v>0</v>
      </c>
      <c r="D22" s="701">
        <v>0</v>
      </c>
      <c r="E22" s="701">
        <v>0</v>
      </c>
      <c r="F22" s="505">
        <f t="shared" si="3"/>
        <v>0</v>
      </c>
      <c r="G22" s="354">
        <v>0</v>
      </c>
      <c r="H22" s="354">
        <v>0</v>
      </c>
      <c r="I22" s="506">
        <f t="shared" si="4"/>
        <v>0</v>
      </c>
      <c r="J22" s="355">
        <v>0</v>
      </c>
      <c r="K22" s="355">
        <v>0</v>
      </c>
      <c r="L22" s="505">
        <f t="shared" si="5"/>
        <v>0</v>
      </c>
      <c r="M22" s="355">
        <v>0</v>
      </c>
      <c r="N22" s="355">
        <v>0</v>
      </c>
      <c r="O22" s="355">
        <v>0</v>
      </c>
      <c r="P22" s="505">
        <f t="shared" si="6"/>
        <v>0</v>
      </c>
      <c r="Q22" s="355">
        <v>0</v>
      </c>
      <c r="R22" s="355">
        <v>0</v>
      </c>
      <c r="S22" s="355">
        <v>0</v>
      </c>
      <c r="T22" s="355">
        <v>0</v>
      </c>
      <c r="U22" s="445">
        <v>0</v>
      </c>
      <c r="W22" s="398"/>
    </row>
    <row r="23" spans="1:23" ht="15.75">
      <c r="A23" s="239" t="s">
        <v>300</v>
      </c>
      <c r="B23" s="425" t="s">
        <v>453</v>
      </c>
      <c r="C23" s="505">
        <f t="shared" si="2"/>
        <v>0</v>
      </c>
      <c r="D23" s="701">
        <v>0</v>
      </c>
      <c r="E23" s="701">
        <v>0</v>
      </c>
      <c r="F23" s="505">
        <f t="shared" si="3"/>
        <v>0</v>
      </c>
      <c r="G23" s="354">
        <v>0</v>
      </c>
      <c r="H23" s="354">
        <v>0</v>
      </c>
      <c r="I23" s="506">
        <f t="shared" si="4"/>
        <v>0</v>
      </c>
      <c r="J23" s="355">
        <v>0</v>
      </c>
      <c r="K23" s="355">
        <v>0</v>
      </c>
      <c r="L23" s="505">
        <f t="shared" si="5"/>
        <v>0</v>
      </c>
      <c r="M23" s="355">
        <v>0</v>
      </c>
      <c r="N23" s="355">
        <v>0</v>
      </c>
      <c r="O23" s="355">
        <v>0</v>
      </c>
      <c r="P23" s="505">
        <f t="shared" si="6"/>
        <v>0</v>
      </c>
      <c r="Q23" s="355">
        <v>0</v>
      </c>
      <c r="R23" s="355">
        <v>0</v>
      </c>
      <c r="S23" s="355">
        <v>0</v>
      </c>
      <c r="T23" s="355">
        <v>0</v>
      </c>
      <c r="U23" s="445">
        <v>0</v>
      </c>
      <c r="W23" s="398"/>
    </row>
    <row r="24" spans="1:23" ht="15.75">
      <c r="A24" s="239" t="s">
        <v>301</v>
      </c>
      <c r="B24" s="425" t="s">
        <v>454</v>
      </c>
      <c r="C24" s="505">
        <f t="shared" si="2"/>
        <v>0</v>
      </c>
      <c r="D24" s="701">
        <v>0</v>
      </c>
      <c r="E24" s="701">
        <v>0</v>
      </c>
      <c r="F24" s="505">
        <f t="shared" si="3"/>
        <v>0</v>
      </c>
      <c r="G24" s="354">
        <v>0</v>
      </c>
      <c r="H24" s="354">
        <v>0</v>
      </c>
      <c r="I24" s="506">
        <f t="shared" si="4"/>
        <v>0</v>
      </c>
      <c r="J24" s="355">
        <v>0</v>
      </c>
      <c r="K24" s="355">
        <v>0</v>
      </c>
      <c r="L24" s="505">
        <f t="shared" si="5"/>
        <v>0</v>
      </c>
      <c r="M24" s="355">
        <v>0</v>
      </c>
      <c r="N24" s="355">
        <v>0</v>
      </c>
      <c r="O24" s="355">
        <v>0</v>
      </c>
      <c r="P24" s="505">
        <f t="shared" si="6"/>
        <v>0</v>
      </c>
      <c r="Q24" s="355">
        <v>0</v>
      </c>
      <c r="R24" s="355">
        <v>0</v>
      </c>
      <c r="S24" s="355">
        <v>0</v>
      </c>
      <c r="T24" s="355">
        <v>0</v>
      </c>
      <c r="U24" s="445">
        <v>0</v>
      </c>
      <c r="W24" s="398"/>
    </row>
    <row r="25" spans="1:23" ht="16.5" thickBot="1">
      <c r="A25" s="240" t="s">
        <v>345</v>
      </c>
      <c r="B25" s="684" t="s">
        <v>455</v>
      </c>
      <c r="C25" s="702">
        <f t="shared" si="2"/>
        <v>0</v>
      </c>
      <c r="D25" s="703">
        <v>0</v>
      </c>
      <c r="E25" s="703">
        <v>0</v>
      </c>
      <c r="F25" s="702">
        <f t="shared" si="3"/>
        <v>0</v>
      </c>
      <c r="G25" s="704">
        <v>0</v>
      </c>
      <c r="H25" s="704">
        <v>0</v>
      </c>
      <c r="I25" s="705">
        <f t="shared" si="4"/>
        <v>0</v>
      </c>
      <c r="J25" s="706">
        <v>0</v>
      </c>
      <c r="K25" s="706">
        <v>0</v>
      </c>
      <c r="L25" s="702">
        <f t="shared" si="5"/>
        <v>0</v>
      </c>
      <c r="M25" s="706">
        <v>0</v>
      </c>
      <c r="N25" s="706">
        <v>0</v>
      </c>
      <c r="O25" s="706">
        <v>0</v>
      </c>
      <c r="P25" s="702">
        <f t="shared" si="6"/>
        <v>0</v>
      </c>
      <c r="Q25" s="706">
        <v>0</v>
      </c>
      <c r="R25" s="706">
        <v>0</v>
      </c>
      <c r="S25" s="706">
        <v>0</v>
      </c>
      <c r="T25" s="706">
        <v>0</v>
      </c>
      <c r="U25" s="707">
        <v>0</v>
      </c>
      <c r="W25" s="398"/>
    </row>
    <row r="26" spans="1:21" ht="17.25" thickTop="1">
      <c r="A26" s="274"/>
      <c r="B26" s="759" t="s">
        <v>384</v>
      </c>
      <c r="C26" s="759"/>
      <c r="D26" s="759"/>
      <c r="E26" s="759"/>
      <c r="F26" s="759"/>
      <c r="G26" s="759"/>
      <c r="H26" s="275"/>
      <c r="I26" s="275"/>
      <c r="J26" s="275"/>
      <c r="K26" s="275"/>
      <c r="L26" s="275"/>
      <c r="M26" s="276"/>
      <c r="N26" s="929" t="s">
        <v>238</v>
      </c>
      <c r="O26" s="929"/>
      <c r="P26" s="929"/>
      <c r="Q26" s="929"/>
      <c r="R26" s="929"/>
      <c r="S26" s="929"/>
      <c r="T26" s="929"/>
      <c r="U26" s="929"/>
    </row>
    <row r="27" spans="1:21" ht="16.5">
      <c r="A27" s="274"/>
      <c r="B27" s="915" t="s">
        <v>485</v>
      </c>
      <c r="C27" s="915"/>
      <c r="D27" s="915"/>
      <c r="E27" s="915"/>
      <c r="F27" s="915"/>
      <c r="G27" s="278"/>
      <c r="H27" s="279"/>
      <c r="I27" s="279"/>
      <c r="J27" s="279"/>
      <c r="K27" s="279"/>
      <c r="L27" s="279"/>
      <c r="M27" s="276"/>
      <c r="N27" s="760" t="s">
        <v>660</v>
      </c>
      <c r="O27" s="760"/>
      <c r="P27" s="760"/>
      <c r="Q27" s="760"/>
      <c r="R27" s="760"/>
      <c r="S27" s="760"/>
      <c r="T27" s="760"/>
      <c r="U27" s="760"/>
    </row>
    <row r="28" spans="14:21" ht="15.75">
      <c r="N28" s="793" t="s">
        <v>656</v>
      </c>
      <c r="O28" s="793"/>
      <c r="P28" s="793"/>
      <c r="Q28" s="793"/>
      <c r="R28" s="793"/>
      <c r="S28" s="793"/>
      <c r="T28" s="793"/>
      <c r="U28" s="793"/>
    </row>
    <row r="31" spans="2:21" ht="16.5">
      <c r="B31" s="879" t="s">
        <v>390</v>
      </c>
      <c r="C31" s="879"/>
      <c r="D31" s="879"/>
      <c r="E31" s="879"/>
      <c r="F31" s="879"/>
      <c r="N31" s="879" t="s">
        <v>2</v>
      </c>
      <c r="O31" s="879"/>
      <c r="P31" s="879"/>
      <c r="Q31" s="879"/>
      <c r="R31" s="879"/>
      <c r="S31" s="879"/>
      <c r="T31" s="879"/>
      <c r="U31" s="879"/>
    </row>
  </sheetData>
  <sheetProtection/>
  <mergeCells count="47">
    <mergeCell ref="J10:J11"/>
    <mergeCell ref="K10:K11"/>
    <mergeCell ref="M10:M11"/>
    <mergeCell ref="F4:O4"/>
    <mergeCell ref="M9:O9"/>
    <mergeCell ref="N10:N11"/>
    <mergeCell ref="O10:O11"/>
    <mergeCell ref="A1:D1"/>
    <mergeCell ref="F1:N2"/>
    <mergeCell ref="A2:E2"/>
    <mergeCell ref="A3:E3"/>
    <mergeCell ref="F3:N3"/>
    <mergeCell ref="A4:E4"/>
    <mergeCell ref="P6:U6"/>
    <mergeCell ref="F7:H8"/>
    <mergeCell ref="I7:O7"/>
    <mergeCell ref="P7:P11"/>
    <mergeCell ref="Q7:U7"/>
    <mergeCell ref="I8:K8"/>
    <mergeCell ref="L8:O8"/>
    <mergeCell ref="Q8:Q11"/>
    <mergeCell ref="R8:R11"/>
    <mergeCell ref="T8:T11"/>
    <mergeCell ref="U8:U11"/>
    <mergeCell ref="C9:C11"/>
    <mergeCell ref="D9:E9"/>
    <mergeCell ref="F9:F11"/>
    <mergeCell ref="G9:H9"/>
    <mergeCell ref="I9:I11"/>
    <mergeCell ref="J9:K9"/>
    <mergeCell ref="L9:L11"/>
    <mergeCell ref="H10:H11"/>
    <mergeCell ref="A13:B13"/>
    <mergeCell ref="B26:G26"/>
    <mergeCell ref="A6:B11"/>
    <mergeCell ref="C6:E8"/>
    <mergeCell ref="F6:O6"/>
    <mergeCell ref="D10:D11"/>
    <mergeCell ref="E10:E11"/>
    <mergeCell ref="G10:G11"/>
    <mergeCell ref="N26:U26"/>
    <mergeCell ref="S8:S11"/>
    <mergeCell ref="B27:F27"/>
    <mergeCell ref="N27:U27"/>
    <mergeCell ref="B31:F31"/>
    <mergeCell ref="N28:U28"/>
    <mergeCell ref="N31:U31"/>
  </mergeCells>
  <printOptions/>
  <pageMargins left="0" right="0" top="0" bottom="0"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A1:W32"/>
  <sheetViews>
    <sheetView zoomScalePageLayoutView="0" workbookViewId="0" topLeftCell="A10">
      <selection activeCell="N27" sqref="N27:U27"/>
    </sheetView>
  </sheetViews>
  <sheetFormatPr defaultColWidth="9.00390625" defaultRowHeight="15.75"/>
  <cols>
    <col min="1" max="1" width="2.875" style="46" customWidth="1"/>
    <col min="2" max="2" width="22.50390625" style="46" customWidth="1"/>
    <col min="3" max="3" width="7.25390625" style="46" customWidth="1"/>
    <col min="4" max="5" width="6.25390625" style="46" customWidth="1"/>
    <col min="6" max="6" width="5.375" style="46" customWidth="1"/>
    <col min="7" max="7" width="5.125" style="46" customWidth="1"/>
    <col min="8" max="8" width="5.00390625" style="46" customWidth="1"/>
    <col min="9" max="9" width="5.75390625" style="46" customWidth="1"/>
    <col min="10" max="10" width="6.125" style="46" customWidth="1"/>
    <col min="11" max="14" width="5.75390625" style="46" customWidth="1"/>
    <col min="15" max="15" width="5.00390625" style="46" customWidth="1"/>
    <col min="16" max="16" width="4.625" style="46" customWidth="1"/>
    <col min="17" max="17" width="5.00390625" style="46" customWidth="1"/>
    <col min="18" max="18" width="5.625" style="46" customWidth="1"/>
    <col min="19" max="19" width="6.00390625" style="46" customWidth="1"/>
    <col min="20" max="20" width="6.375" style="46" customWidth="1"/>
    <col min="21" max="21" width="6.50390625" style="46" customWidth="1"/>
    <col min="22" max="16384" width="9.00390625" style="46" customWidth="1"/>
  </cols>
  <sheetData>
    <row r="1" spans="1:21" s="325" customFormat="1" ht="9" customHeight="1">
      <c r="A1" s="280"/>
      <c r="B1" s="280"/>
      <c r="C1" s="280"/>
      <c r="D1" s="280"/>
      <c r="E1" s="280"/>
      <c r="F1" s="280"/>
      <c r="G1" s="280"/>
      <c r="H1" s="280"/>
      <c r="I1" s="280"/>
      <c r="J1" s="280"/>
      <c r="K1" s="280"/>
      <c r="L1" s="280"/>
      <c r="M1" s="280"/>
      <c r="N1" s="280"/>
      <c r="O1" s="280"/>
      <c r="P1" s="280"/>
      <c r="Q1" s="280"/>
      <c r="R1" s="280"/>
      <c r="S1" s="280"/>
      <c r="T1" s="280"/>
      <c r="U1" s="280"/>
    </row>
    <row r="2" spans="1:21" s="325" customFormat="1" ht="16.5">
      <c r="A2" s="979" t="s">
        <v>458</v>
      </c>
      <c r="B2" s="979"/>
      <c r="C2" s="979"/>
      <c r="D2" s="979"/>
      <c r="E2" s="337"/>
      <c r="F2" s="823" t="s">
        <v>459</v>
      </c>
      <c r="G2" s="823"/>
      <c r="H2" s="823"/>
      <c r="I2" s="823"/>
      <c r="J2" s="823"/>
      <c r="K2" s="823"/>
      <c r="L2" s="823"/>
      <c r="M2" s="823"/>
      <c r="N2" s="823"/>
      <c r="O2" s="231"/>
      <c r="P2" s="336" t="s">
        <v>379</v>
      </c>
      <c r="Q2" s="336"/>
      <c r="R2" s="336"/>
      <c r="S2" s="336"/>
      <c r="T2" s="336"/>
      <c r="U2" s="280"/>
    </row>
    <row r="3" spans="1:21" s="325" customFormat="1" ht="15" customHeight="1">
      <c r="A3" s="979" t="s">
        <v>460</v>
      </c>
      <c r="B3" s="979"/>
      <c r="C3" s="979"/>
      <c r="D3" s="979"/>
      <c r="E3" s="979"/>
      <c r="F3" s="823"/>
      <c r="G3" s="823"/>
      <c r="H3" s="823"/>
      <c r="I3" s="823"/>
      <c r="J3" s="823"/>
      <c r="K3" s="823"/>
      <c r="L3" s="823"/>
      <c r="M3" s="823"/>
      <c r="N3" s="823"/>
      <c r="O3" s="231"/>
      <c r="P3" s="232" t="s">
        <v>388</v>
      </c>
      <c r="Q3" s="232"/>
      <c r="R3" s="232"/>
      <c r="S3" s="232"/>
      <c r="T3" s="232"/>
      <c r="U3" s="338"/>
    </row>
    <row r="4" spans="1:21" s="325" customFormat="1" ht="16.5">
      <c r="A4" s="979" t="s">
        <v>486</v>
      </c>
      <c r="B4" s="979"/>
      <c r="C4" s="979"/>
      <c r="D4" s="979"/>
      <c r="E4" s="979"/>
      <c r="F4" s="824" t="s">
        <v>0</v>
      </c>
      <c r="G4" s="824"/>
      <c r="H4" s="824"/>
      <c r="I4" s="824"/>
      <c r="J4" s="824"/>
      <c r="K4" s="824"/>
      <c r="L4" s="824"/>
      <c r="M4" s="824"/>
      <c r="N4" s="824"/>
      <c r="O4" s="234"/>
      <c r="P4" s="333" t="s">
        <v>378</v>
      </c>
      <c r="Q4" s="333"/>
      <c r="R4" s="333"/>
      <c r="S4" s="333"/>
      <c r="T4" s="333"/>
      <c r="U4" s="280"/>
    </row>
    <row r="5" spans="1:21" s="325" customFormat="1" ht="15.75" customHeight="1">
      <c r="A5" s="968" t="s">
        <v>461</v>
      </c>
      <c r="B5" s="968"/>
      <c r="C5" s="968"/>
      <c r="D5" s="968"/>
      <c r="E5" s="968"/>
      <c r="F5" s="947" t="s">
        <v>1</v>
      </c>
      <c r="G5" s="947"/>
      <c r="H5" s="947"/>
      <c r="I5" s="947"/>
      <c r="J5" s="947"/>
      <c r="K5" s="947"/>
      <c r="L5" s="947"/>
      <c r="M5" s="947"/>
      <c r="N5" s="947"/>
      <c r="O5" s="337"/>
      <c r="P5" s="235" t="s">
        <v>392</v>
      </c>
      <c r="Q5" s="235"/>
      <c r="R5" s="235"/>
      <c r="S5" s="235"/>
      <c r="T5" s="235"/>
      <c r="U5" s="338"/>
    </row>
    <row r="6" spans="1:21" s="325" customFormat="1" ht="15.75" customHeight="1">
      <c r="A6" s="280"/>
      <c r="B6" s="280"/>
      <c r="C6" s="280"/>
      <c r="D6" s="280"/>
      <c r="E6" s="280"/>
      <c r="F6" s="280"/>
      <c r="G6" s="280"/>
      <c r="H6" s="280"/>
      <c r="I6" s="280"/>
      <c r="J6" s="280"/>
      <c r="K6" s="280"/>
      <c r="L6" s="280"/>
      <c r="M6" s="280"/>
      <c r="N6" s="420"/>
      <c r="O6" s="420"/>
      <c r="P6" s="962" t="s">
        <v>462</v>
      </c>
      <c r="Q6" s="962"/>
      <c r="R6" s="962"/>
      <c r="S6" s="962"/>
      <c r="T6" s="962"/>
      <c r="U6" s="420"/>
    </row>
    <row r="7" spans="1:21" s="325" customFormat="1" ht="24" customHeight="1">
      <c r="A7" s="969" t="s">
        <v>294</v>
      </c>
      <c r="B7" s="970"/>
      <c r="C7" s="957" t="s">
        <v>463</v>
      </c>
      <c r="D7" s="950"/>
      <c r="E7" s="958"/>
      <c r="F7" s="949" t="s">
        <v>464</v>
      </c>
      <c r="G7" s="954"/>
      <c r="H7" s="954"/>
      <c r="I7" s="954"/>
      <c r="J7" s="954"/>
      <c r="K7" s="954"/>
      <c r="L7" s="954"/>
      <c r="M7" s="954"/>
      <c r="N7" s="954"/>
      <c r="O7" s="955"/>
      <c r="P7" s="956" t="s">
        <v>465</v>
      </c>
      <c r="Q7" s="956"/>
      <c r="R7" s="956"/>
      <c r="S7" s="956"/>
      <c r="T7" s="956"/>
      <c r="U7" s="956"/>
    </row>
    <row r="8" spans="1:21" s="325" customFormat="1" ht="15.75">
      <c r="A8" s="971"/>
      <c r="B8" s="972"/>
      <c r="C8" s="975"/>
      <c r="D8" s="976"/>
      <c r="E8" s="976"/>
      <c r="F8" s="957" t="s">
        <v>466</v>
      </c>
      <c r="G8" s="950"/>
      <c r="H8" s="958"/>
      <c r="I8" s="956" t="s">
        <v>467</v>
      </c>
      <c r="J8" s="956"/>
      <c r="K8" s="956"/>
      <c r="L8" s="956"/>
      <c r="M8" s="956"/>
      <c r="N8" s="956"/>
      <c r="O8" s="956"/>
      <c r="P8" s="951" t="s">
        <v>146</v>
      </c>
      <c r="Q8" s="949" t="s">
        <v>106</v>
      </c>
      <c r="R8" s="954"/>
      <c r="S8" s="954"/>
      <c r="T8" s="954"/>
      <c r="U8" s="955"/>
    </row>
    <row r="9" spans="1:21" s="325" customFormat="1" ht="36" customHeight="1">
      <c r="A9" s="971"/>
      <c r="B9" s="972"/>
      <c r="C9" s="975"/>
      <c r="D9" s="976"/>
      <c r="E9" s="976"/>
      <c r="F9" s="959"/>
      <c r="G9" s="960"/>
      <c r="H9" s="961"/>
      <c r="I9" s="956" t="s">
        <v>468</v>
      </c>
      <c r="J9" s="956"/>
      <c r="K9" s="956"/>
      <c r="L9" s="956" t="s">
        <v>469</v>
      </c>
      <c r="M9" s="956"/>
      <c r="N9" s="956"/>
      <c r="O9" s="956"/>
      <c r="P9" s="952"/>
      <c r="Q9" s="951" t="s">
        <v>470</v>
      </c>
      <c r="R9" s="951" t="s">
        <v>471</v>
      </c>
      <c r="S9" s="951" t="s">
        <v>472</v>
      </c>
      <c r="T9" s="951" t="s">
        <v>473</v>
      </c>
      <c r="U9" s="951" t="s">
        <v>474</v>
      </c>
    </row>
    <row r="10" spans="1:21" s="325" customFormat="1" ht="15.75">
      <c r="A10" s="971"/>
      <c r="B10" s="972"/>
      <c r="C10" s="951" t="s">
        <v>146</v>
      </c>
      <c r="D10" s="957" t="s">
        <v>106</v>
      </c>
      <c r="E10" s="950"/>
      <c r="F10" s="951" t="s">
        <v>146</v>
      </c>
      <c r="G10" s="957" t="s">
        <v>106</v>
      </c>
      <c r="H10" s="950"/>
      <c r="I10" s="951" t="s">
        <v>146</v>
      </c>
      <c r="J10" s="949" t="s">
        <v>106</v>
      </c>
      <c r="K10" s="950"/>
      <c r="L10" s="951" t="s">
        <v>146</v>
      </c>
      <c r="M10" s="949" t="s">
        <v>475</v>
      </c>
      <c r="N10" s="954"/>
      <c r="O10" s="955"/>
      <c r="P10" s="952"/>
      <c r="Q10" s="966"/>
      <c r="R10" s="952"/>
      <c r="S10" s="952"/>
      <c r="T10" s="952"/>
      <c r="U10" s="952"/>
    </row>
    <row r="11" spans="1:21" s="325" customFormat="1" ht="15.75">
      <c r="A11" s="971"/>
      <c r="B11" s="972"/>
      <c r="C11" s="952"/>
      <c r="D11" s="253"/>
      <c r="E11" s="254"/>
      <c r="F11" s="952"/>
      <c r="G11" s="951" t="s">
        <v>476</v>
      </c>
      <c r="H11" s="951" t="s">
        <v>477</v>
      </c>
      <c r="I11" s="952"/>
      <c r="J11" s="977" t="s">
        <v>478</v>
      </c>
      <c r="K11" s="956" t="s">
        <v>479</v>
      </c>
      <c r="L11" s="952"/>
      <c r="M11" s="956" t="s">
        <v>480</v>
      </c>
      <c r="N11" s="956" t="s">
        <v>481</v>
      </c>
      <c r="O11" s="956" t="s">
        <v>482</v>
      </c>
      <c r="P11" s="952"/>
      <c r="Q11" s="966"/>
      <c r="R11" s="952"/>
      <c r="S11" s="952"/>
      <c r="T11" s="952"/>
      <c r="U11" s="952"/>
    </row>
    <row r="12" spans="1:21" s="325" customFormat="1" ht="84" customHeight="1">
      <c r="A12" s="973"/>
      <c r="B12" s="974"/>
      <c r="C12" s="953"/>
      <c r="D12" s="255" t="s">
        <v>476</v>
      </c>
      <c r="E12" s="256" t="s">
        <v>483</v>
      </c>
      <c r="F12" s="953"/>
      <c r="G12" s="953"/>
      <c r="H12" s="953"/>
      <c r="I12" s="953"/>
      <c r="J12" s="978"/>
      <c r="K12" s="956"/>
      <c r="L12" s="953"/>
      <c r="M12" s="956"/>
      <c r="N12" s="956"/>
      <c r="O12" s="956"/>
      <c r="P12" s="953"/>
      <c r="Q12" s="967"/>
      <c r="R12" s="953"/>
      <c r="S12" s="953"/>
      <c r="T12" s="953"/>
      <c r="U12" s="953"/>
    </row>
    <row r="13" spans="1:21" s="325" customFormat="1" ht="12" customHeight="1">
      <c r="A13" s="246"/>
      <c r="B13" s="369" t="s">
        <v>484</v>
      </c>
      <c r="C13" s="370">
        <v>1</v>
      </c>
      <c r="D13" s="371">
        <v>2</v>
      </c>
      <c r="E13" s="370">
        <v>3</v>
      </c>
      <c r="F13" s="371">
        <v>4</v>
      </c>
      <c r="G13" s="370">
        <v>5</v>
      </c>
      <c r="H13" s="371">
        <v>6</v>
      </c>
      <c r="I13" s="370">
        <v>7</v>
      </c>
      <c r="J13" s="371">
        <v>8</v>
      </c>
      <c r="K13" s="370">
        <v>9</v>
      </c>
      <c r="L13" s="371">
        <v>10</v>
      </c>
      <c r="M13" s="370">
        <v>11</v>
      </c>
      <c r="N13" s="371">
        <v>12</v>
      </c>
      <c r="O13" s="370">
        <v>13</v>
      </c>
      <c r="P13" s="371">
        <v>14</v>
      </c>
      <c r="Q13" s="370">
        <v>15</v>
      </c>
      <c r="R13" s="371">
        <v>16</v>
      </c>
      <c r="S13" s="370">
        <v>17</v>
      </c>
      <c r="T13" s="371">
        <v>18</v>
      </c>
      <c r="U13" s="370">
        <v>19</v>
      </c>
    </row>
    <row r="14" spans="1:23" s="325" customFormat="1" ht="15.75">
      <c r="A14" s="963" t="s">
        <v>146</v>
      </c>
      <c r="B14" s="964"/>
      <c r="C14" s="499">
        <f aca="true" t="shared" si="0" ref="C14:U14">C15+C16</f>
        <v>33</v>
      </c>
      <c r="D14" s="499">
        <f t="shared" si="0"/>
        <v>1</v>
      </c>
      <c r="E14" s="499">
        <f t="shared" si="0"/>
        <v>32</v>
      </c>
      <c r="F14" s="499">
        <f t="shared" si="0"/>
        <v>33</v>
      </c>
      <c r="G14" s="499">
        <f t="shared" si="0"/>
        <v>1</v>
      </c>
      <c r="H14" s="499">
        <f t="shared" si="0"/>
        <v>32</v>
      </c>
      <c r="I14" s="499">
        <f t="shared" si="0"/>
        <v>33</v>
      </c>
      <c r="J14" s="499">
        <f t="shared" si="0"/>
        <v>28</v>
      </c>
      <c r="K14" s="499">
        <f t="shared" si="0"/>
        <v>5</v>
      </c>
      <c r="L14" s="499">
        <f t="shared" si="0"/>
        <v>0</v>
      </c>
      <c r="M14" s="499">
        <f t="shared" si="0"/>
        <v>0</v>
      </c>
      <c r="N14" s="499">
        <f t="shared" si="0"/>
        <v>0</v>
      </c>
      <c r="O14" s="499">
        <f t="shared" si="0"/>
        <v>0</v>
      </c>
      <c r="P14" s="499">
        <f t="shared" si="0"/>
        <v>33</v>
      </c>
      <c r="Q14" s="499">
        <f t="shared" si="0"/>
        <v>1</v>
      </c>
      <c r="R14" s="499">
        <f t="shared" si="0"/>
        <v>3</v>
      </c>
      <c r="S14" s="499">
        <f t="shared" si="0"/>
        <v>8</v>
      </c>
      <c r="T14" s="499">
        <f t="shared" si="0"/>
        <v>18</v>
      </c>
      <c r="U14" s="499">
        <f t="shared" si="0"/>
        <v>3</v>
      </c>
      <c r="W14" s="429"/>
    </row>
    <row r="15" spans="1:23" s="325" customFormat="1" ht="15.75">
      <c r="A15" s="247" t="s">
        <v>14</v>
      </c>
      <c r="B15" s="238" t="s">
        <v>342</v>
      </c>
      <c r="C15" s="499">
        <f>D15+E15</f>
        <v>6</v>
      </c>
      <c r="D15" s="464">
        <v>0</v>
      </c>
      <c r="E15" s="464">
        <v>6</v>
      </c>
      <c r="F15" s="567">
        <f>G15+H15</f>
        <v>6</v>
      </c>
      <c r="G15" s="340">
        <v>0</v>
      </c>
      <c r="H15" s="340">
        <v>6</v>
      </c>
      <c r="I15" s="565">
        <f>J15+K15</f>
        <v>6</v>
      </c>
      <c r="J15" s="323">
        <v>3</v>
      </c>
      <c r="K15" s="323">
        <v>3</v>
      </c>
      <c r="L15" s="565">
        <f>M15+N15+O15</f>
        <v>0</v>
      </c>
      <c r="M15" s="323">
        <v>0</v>
      </c>
      <c r="N15" s="323">
        <v>0</v>
      </c>
      <c r="O15" s="323">
        <v>0</v>
      </c>
      <c r="P15" s="567">
        <f>Q15+R15+S15+T15+U15</f>
        <v>6</v>
      </c>
      <c r="Q15" s="323">
        <v>1</v>
      </c>
      <c r="R15" s="323">
        <v>1</v>
      </c>
      <c r="S15" s="323">
        <v>0</v>
      </c>
      <c r="T15" s="323">
        <v>3</v>
      </c>
      <c r="U15" s="323">
        <v>1</v>
      </c>
      <c r="W15" s="429"/>
    </row>
    <row r="16" spans="1:23" s="325" customFormat="1" ht="15.75">
      <c r="A16" s="248" t="s">
        <v>15</v>
      </c>
      <c r="B16" s="238" t="s">
        <v>125</v>
      </c>
      <c r="C16" s="499">
        <f aca="true" t="shared" si="1" ref="C16:U16">C17+C18+C19+C20+C21+C22+C23+C24+C25+C26</f>
        <v>27</v>
      </c>
      <c r="D16" s="499">
        <f t="shared" si="1"/>
        <v>1</v>
      </c>
      <c r="E16" s="499">
        <f t="shared" si="1"/>
        <v>26</v>
      </c>
      <c r="F16" s="499">
        <f t="shared" si="1"/>
        <v>27</v>
      </c>
      <c r="G16" s="499">
        <f t="shared" si="1"/>
        <v>1</v>
      </c>
      <c r="H16" s="499">
        <f t="shared" si="1"/>
        <v>26</v>
      </c>
      <c r="I16" s="499">
        <f t="shared" si="1"/>
        <v>27</v>
      </c>
      <c r="J16" s="499">
        <f t="shared" si="1"/>
        <v>25</v>
      </c>
      <c r="K16" s="499">
        <f t="shared" si="1"/>
        <v>2</v>
      </c>
      <c r="L16" s="499">
        <f t="shared" si="1"/>
        <v>0</v>
      </c>
      <c r="M16" s="499">
        <f t="shared" si="1"/>
        <v>0</v>
      </c>
      <c r="N16" s="499">
        <f t="shared" si="1"/>
        <v>0</v>
      </c>
      <c r="O16" s="499">
        <f t="shared" si="1"/>
        <v>0</v>
      </c>
      <c r="P16" s="499">
        <f t="shared" si="1"/>
        <v>27</v>
      </c>
      <c r="Q16" s="499">
        <f t="shared" si="1"/>
        <v>0</v>
      </c>
      <c r="R16" s="499">
        <f t="shared" si="1"/>
        <v>2</v>
      </c>
      <c r="S16" s="499">
        <f t="shared" si="1"/>
        <v>8</v>
      </c>
      <c r="T16" s="499">
        <f t="shared" si="1"/>
        <v>15</v>
      </c>
      <c r="U16" s="499">
        <f t="shared" si="1"/>
        <v>2</v>
      </c>
      <c r="W16" s="429"/>
    </row>
    <row r="17" spans="1:23" s="325" customFormat="1" ht="15.75">
      <c r="A17" s="239" t="s">
        <v>212</v>
      </c>
      <c r="B17" s="425" t="s">
        <v>446</v>
      </c>
      <c r="C17" s="500">
        <f aca="true" t="shared" si="2" ref="C17:C26">D17+E17</f>
        <v>9</v>
      </c>
      <c r="D17" s="464">
        <v>0</v>
      </c>
      <c r="E17" s="464">
        <v>9</v>
      </c>
      <c r="F17" s="501">
        <f aca="true" t="shared" si="3" ref="F17:F26">G17+H17</f>
        <v>9</v>
      </c>
      <c r="G17" s="340">
        <v>0</v>
      </c>
      <c r="H17" s="340">
        <v>9</v>
      </c>
      <c r="I17" s="502">
        <f aca="true" t="shared" si="4" ref="I17:I26">J17+K17</f>
        <v>9</v>
      </c>
      <c r="J17" s="323">
        <v>9</v>
      </c>
      <c r="K17" s="323">
        <v>0</v>
      </c>
      <c r="L17" s="502">
        <f aca="true" t="shared" si="5" ref="L17:L26">M17+N17+O17</f>
        <v>0</v>
      </c>
      <c r="M17" s="323">
        <v>0</v>
      </c>
      <c r="N17" s="323">
        <v>0</v>
      </c>
      <c r="O17" s="323">
        <v>0</v>
      </c>
      <c r="P17" s="501">
        <f aca="true" t="shared" si="6" ref="P17:P26">Q17+R17+S17+T17+U17</f>
        <v>9</v>
      </c>
      <c r="Q17" s="323">
        <v>0</v>
      </c>
      <c r="R17" s="323">
        <v>0</v>
      </c>
      <c r="S17" s="323">
        <v>7</v>
      </c>
      <c r="T17" s="323">
        <v>2</v>
      </c>
      <c r="U17" s="323">
        <v>0</v>
      </c>
      <c r="W17" s="429"/>
    </row>
    <row r="18" spans="1:23" s="325" customFormat="1" ht="15.75">
      <c r="A18" s="239" t="s">
        <v>213</v>
      </c>
      <c r="B18" s="425" t="s">
        <v>447</v>
      </c>
      <c r="C18" s="500">
        <f t="shared" si="2"/>
        <v>3</v>
      </c>
      <c r="D18" s="464">
        <v>0</v>
      </c>
      <c r="E18" s="464">
        <v>3</v>
      </c>
      <c r="F18" s="501">
        <f t="shared" si="3"/>
        <v>3</v>
      </c>
      <c r="G18" s="340">
        <v>0</v>
      </c>
      <c r="H18" s="340">
        <v>3</v>
      </c>
      <c r="I18" s="502">
        <f t="shared" si="4"/>
        <v>3</v>
      </c>
      <c r="J18" s="323">
        <v>1</v>
      </c>
      <c r="K18" s="323">
        <v>2</v>
      </c>
      <c r="L18" s="502">
        <f t="shared" si="5"/>
        <v>0</v>
      </c>
      <c r="M18" s="323">
        <v>0</v>
      </c>
      <c r="N18" s="323">
        <v>0</v>
      </c>
      <c r="O18" s="323">
        <v>0</v>
      </c>
      <c r="P18" s="501">
        <f t="shared" si="6"/>
        <v>3</v>
      </c>
      <c r="Q18" s="323">
        <v>0</v>
      </c>
      <c r="R18" s="323">
        <v>0</v>
      </c>
      <c r="S18" s="323">
        <v>0</v>
      </c>
      <c r="T18" s="323">
        <v>3</v>
      </c>
      <c r="U18" s="323">
        <v>0</v>
      </c>
      <c r="W18" s="429"/>
    </row>
    <row r="19" spans="1:23" s="325" customFormat="1" ht="15.75">
      <c r="A19" s="239" t="s">
        <v>214</v>
      </c>
      <c r="B19" s="425" t="s">
        <v>448</v>
      </c>
      <c r="C19" s="500">
        <f t="shared" si="2"/>
        <v>5</v>
      </c>
      <c r="D19" s="708">
        <v>0</v>
      </c>
      <c r="E19" s="708">
        <v>5</v>
      </c>
      <c r="F19" s="501">
        <f t="shared" si="3"/>
        <v>5</v>
      </c>
      <c r="G19" s="340">
        <v>0</v>
      </c>
      <c r="H19" s="340">
        <v>5</v>
      </c>
      <c r="I19" s="502">
        <f t="shared" si="4"/>
        <v>5</v>
      </c>
      <c r="J19" s="323">
        <v>5</v>
      </c>
      <c r="K19" s="323">
        <v>0</v>
      </c>
      <c r="L19" s="502">
        <f t="shared" si="5"/>
        <v>0</v>
      </c>
      <c r="M19" s="323">
        <v>0</v>
      </c>
      <c r="N19" s="323">
        <v>0</v>
      </c>
      <c r="O19" s="323">
        <v>0</v>
      </c>
      <c r="P19" s="501">
        <f t="shared" si="6"/>
        <v>5</v>
      </c>
      <c r="Q19" s="323">
        <v>0</v>
      </c>
      <c r="R19" s="323">
        <v>0</v>
      </c>
      <c r="S19" s="323">
        <v>1</v>
      </c>
      <c r="T19" s="323">
        <v>3</v>
      </c>
      <c r="U19" s="323">
        <v>1</v>
      </c>
      <c r="W19" s="429"/>
    </row>
    <row r="20" spans="1:23" s="325" customFormat="1" ht="15.75">
      <c r="A20" s="239" t="s">
        <v>296</v>
      </c>
      <c r="B20" s="425" t="s">
        <v>449</v>
      </c>
      <c r="C20" s="500">
        <f t="shared" si="2"/>
        <v>1</v>
      </c>
      <c r="D20" s="708">
        <v>0</v>
      </c>
      <c r="E20" s="708">
        <v>1</v>
      </c>
      <c r="F20" s="501">
        <f t="shared" si="3"/>
        <v>1</v>
      </c>
      <c r="G20" s="340">
        <v>0</v>
      </c>
      <c r="H20" s="340">
        <v>1</v>
      </c>
      <c r="I20" s="502">
        <f t="shared" si="4"/>
        <v>1</v>
      </c>
      <c r="J20" s="323">
        <v>1</v>
      </c>
      <c r="K20" s="323">
        <v>0</v>
      </c>
      <c r="L20" s="502">
        <f t="shared" si="5"/>
        <v>0</v>
      </c>
      <c r="M20" s="323">
        <v>0</v>
      </c>
      <c r="N20" s="323">
        <v>0</v>
      </c>
      <c r="O20" s="323">
        <v>0</v>
      </c>
      <c r="P20" s="501">
        <f t="shared" si="6"/>
        <v>1</v>
      </c>
      <c r="Q20" s="323">
        <v>0</v>
      </c>
      <c r="R20" s="323">
        <v>0</v>
      </c>
      <c r="S20" s="323">
        <v>0</v>
      </c>
      <c r="T20" s="323">
        <v>1</v>
      </c>
      <c r="U20" s="323">
        <v>0</v>
      </c>
      <c r="W20" s="429"/>
    </row>
    <row r="21" spans="1:23" s="325" customFormat="1" ht="15.75">
      <c r="A21" s="239" t="s">
        <v>297</v>
      </c>
      <c r="B21" s="425" t="s">
        <v>450</v>
      </c>
      <c r="C21" s="500">
        <f t="shared" si="2"/>
        <v>1</v>
      </c>
      <c r="D21" s="708">
        <v>0</v>
      </c>
      <c r="E21" s="708">
        <v>1</v>
      </c>
      <c r="F21" s="501">
        <f t="shared" si="3"/>
        <v>1</v>
      </c>
      <c r="G21" s="340">
        <v>0</v>
      </c>
      <c r="H21" s="340">
        <v>1</v>
      </c>
      <c r="I21" s="502">
        <f>J21+K21</f>
        <v>1</v>
      </c>
      <c r="J21" s="323">
        <v>1</v>
      </c>
      <c r="K21" s="323">
        <v>0</v>
      </c>
      <c r="L21" s="502">
        <f t="shared" si="5"/>
        <v>0</v>
      </c>
      <c r="M21" s="323">
        <v>0</v>
      </c>
      <c r="N21" s="323">
        <v>0</v>
      </c>
      <c r="O21" s="323">
        <v>0</v>
      </c>
      <c r="P21" s="501">
        <f t="shared" si="6"/>
        <v>1</v>
      </c>
      <c r="Q21" s="323">
        <v>0</v>
      </c>
      <c r="R21" s="323">
        <v>0</v>
      </c>
      <c r="S21" s="323">
        <v>0</v>
      </c>
      <c r="T21" s="323">
        <v>1</v>
      </c>
      <c r="U21" s="323">
        <v>0</v>
      </c>
      <c r="W21" s="429"/>
    </row>
    <row r="22" spans="1:23" s="325" customFormat="1" ht="15.75">
      <c r="A22" s="239" t="s">
        <v>298</v>
      </c>
      <c r="B22" s="425" t="s">
        <v>451</v>
      </c>
      <c r="C22" s="500">
        <f t="shared" si="2"/>
        <v>1</v>
      </c>
      <c r="D22" s="708">
        <v>0</v>
      </c>
      <c r="E22" s="708">
        <v>1</v>
      </c>
      <c r="F22" s="501">
        <f t="shared" si="3"/>
        <v>1</v>
      </c>
      <c r="G22" s="340">
        <v>0</v>
      </c>
      <c r="H22" s="340">
        <v>1</v>
      </c>
      <c r="I22" s="502">
        <f t="shared" si="4"/>
        <v>1</v>
      </c>
      <c r="J22" s="323">
        <v>1</v>
      </c>
      <c r="K22" s="323">
        <v>0</v>
      </c>
      <c r="L22" s="502">
        <f t="shared" si="5"/>
        <v>0</v>
      </c>
      <c r="M22" s="323">
        <v>0</v>
      </c>
      <c r="N22" s="323">
        <v>0</v>
      </c>
      <c r="O22" s="323">
        <v>0</v>
      </c>
      <c r="P22" s="501">
        <f t="shared" si="6"/>
        <v>1</v>
      </c>
      <c r="Q22" s="323">
        <v>0</v>
      </c>
      <c r="R22" s="323">
        <v>0</v>
      </c>
      <c r="S22" s="323">
        <v>0</v>
      </c>
      <c r="T22" s="323">
        <v>1</v>
      </c>
      <c r="U22" s="323">
        <v>0</v>
      </c>
      <c r="W22" s="429"/>
    </row>
    <row r="23" spans="1:23" s="325" customFormat="1" ht="15.75">
      <c r="A23" s="239" t="s">
        <v>299</v>
      </c>
      <c r="B23" s="425" t="s">
        <v>452</v>
      </c>
      <c r="C23" s="500">
        <f t="shared" si="2"/>
        <v>3</v>
      </c>
      <c r="D23" s="708">
        <v>1</v>
      </c>
      <c r="E23" s="708">
        <v>2</v>
      </c>
      <c r="F23" s="501">
        <f t="shared" si="3"/>
        <v>3</v>
      </c>
      <c r="G23" s="340">
        <v>1</v>
      </c>
      <c r="H23" s="340">
        <v>2</v>
      </c>
      <c r="I23" s="502">
        <f t="shared" si="4"/>
        <v>3</v>
      </c>
      <c r="J23" s="323">
        <v>3</v>
      </c>
      <c r="K23" s="323">
        <v>0</v>
      </c>
      <c r="L23" s="502">
        <f t="shared" si="5"/>
        <v>0</v>
      </c>
      <c r="M23" s="323">
        <v>0</v>
      </c>
      <c r="N23" s="323">
        <v>0</v>
      </c>
      <c r="O23" s="323">
        <v>0</v>
      </c>
      <c r="P23" s="501">
        <f t="shared" si="6"/>
        <v>3</v>
      </c>
      <c r="Q23" s="323">
        <v>0</v>
      </c>
      <c r="R23" s="323">
        <v>2</v>
      </c>
      <c r="S23" s="323">
        <v>0</v>
      </c>
      <c r="T23" s="323">
        <v>0</v>
      </c>
      <c r="U23" s="323">
        <v>1</v>
      </c>
      <c r="W23" s="429"/>
    </row>
    <row r="24" spans="1:23" s="325" customFormat="1" ht="15.75">
      <c r="A24" s="239" t="s">
        <v>300</v>
      </c>
      <c r="B24" s="425" t="s">
        <v>453</v>
      </c>
      <c r="C24" s="500">
        <f t="shared" si="2"/>
        <v>1</v>
      </c>
      <c r="D24" s="708">
        <v>0</v>
      </c>
      <c r="E24" s="708">
        <v>1</v>
      </c>
      <c r="F24" s="501">
        <f t="shared" si="3"/>
        <v>1</v>
      </c>
      <c r="G24" s="340">
        <v>0</v>
      </c>
      <c r="H24" s="340">
        <v>1</v>
      </c>
      <c r="I24" s="502">
        <f t="shared" si="4"/>
        <v>1</v>
      </c>
      <c r="J24" s="323">
        <v>1</v>
      </c>
      <c r="K24" s="323">
        <v>0</v>
      </c>
      <c r="L24" s="502">
        <f t="shared" si="5"/>
        <v>0</v>
      </c>
      <c r="M24" s="323">
        <v>0</v>
      </c>
      <c r="N24" s="323">
        <v>0</v>
      </c>
      <c r="O24" s="323">
        <v>0</v>
      </c>
      <c r="P24" s="501">
        <f t="shared" si="6"/>
        <v>1</v>
      </c>
      <c r="Q24" s="323">
        <v>0</v>
      </c>
      <c r="R24" s="323">
        <v>0</v>
      </c>
      <c r="S24" s="323">
        <v>0</v>
      </c>
      <c r="T24" s="323">
        <v>1</v>
      </c>
      <c r="U24" s="323">
        <v>0</v>
      </c>
      <c r="W24" s="429"/>
    </row>
    <row r="25" spans="1:23" s="325" customFormat="1" ht="15.75">
      <c r="A25" s="239" t="s">
        <v>301</v>
      </c>
      <c r="B25" s="425" t="s">
        <v>454</v>
      </c>
      <c r="C25" s="500">
        <f t="shared" si="2"/>
        <v>3</v>
      </c>
      <c r="D25" s="708">
        <v>0</v>
      </c>
      <c r="E25" s="708">
        <v>3</v>
      </c>
      <c r="F25" s="501">
        <f t="shared" si="3"/>
        <v>3</v>
      </c>
      <c r="G25" s="340">
        <v>0</v>
      </c>
      <c r="H25" s="340">
        <v>3</v>
      </c>
      <c r="I25" s="502">
        <f t="shared" si="4"/>
        <v>3</v>
      </c>
      <c r="J25" s="323">
        <v>3</v>
      </c>
      <c r="K25" s="323">
        <v>0</v>
      </c>
      <c r="L25" s="502">
        <f t="shared" si="5"/>
        <v>0</v>
      </c>
      <c r="M25" s="323">
        <v>0</v>
      </c>
      <c r="N25" s="323">
        <v>0</v>
      </c>
      <c r="O25" s="323">
        <v>0</v>
      </c>
      <c r="P25" s="501">
        <f t="shared" si="6"/>
        <v>3</v>
      </c>
      <c r="Q25" s="323">
        <v>0</v>
      </c>
      <c r="R25" s="323">
        <v>0</v>
      </c>
      <c r="S25" s="323">
        <v>0</v>
      </c>
      <c r="T25" s="323">
        <v>3</v>
      </c>
      <c r="U25" s="323">
        <v>0</v>
      </c>
      <c r="W25" s="429"/>
    </row>
    <row r="26" spans="1:23" s="325" customFormat="1" ht="16.5" thickBot="1">
      <c r="A26" s="240" t="s">
        <v>345</v>
      </c>
      <c r="B26" s="684" t="s">
        <v>455</v>
      </c>
      <c r="C26" s="709">
        <f t="shared" si="2"/>
        <v>0</v>
      </c>
      <c r="D26" s="710">
        <v>0</v>
      </c>
      <c r="E26" s="710">
        <v>0</v>
      </c>
      <c r="F26" s="711">
        <f t="shared" si="3"/>
        <v>0</v>
      </c>
      <c r="G26" s="712">
        <v>0</v>
      </c>
      <c r="H26" s="712">
        <v>0</v>
      </c>
      <c r="I26" s="711">
        <f t="shared" si="4"/>
        <v>0</v>
      </c>
      <c r="J26" s="693">
        <v>0</v>
      </c>
      <c r="K26" s="693">
        <v>0</v>
      </c>
      <c r="L26" s="711">
        <f t="shared" si="5"/>
        <v>0</v>
      </c>
      <c r="M26" s="693">
        <v>0</v>
      </c>
      <c r="N26" s="693">
        <v>0</v>
      </c>
      <c r="O26" s="693">
        <v>0</v>
      </c>
      <c r="P26" s="713">
        <f t="shared" si="6"/>
        <v>0</v>
      </c>
      <c r="Q26" s="693">
        <v>0</v>
      </c>
      <c r="R26" s="693">
        <v>0</v>
      </c>
      <c r="S26" s="693">
        <v>0</v>
      </c>
      <c r="T26" s="693">
        <v>0</v>
      </c>
      <c r="U26" s="693">
        <v>0</v>
      </c>
      <c r="W26" s="429"/>
    </row>
    <row r="27" spans="1:21" s="325" customFormat="1" ht="16.5" thickTop="1">
      <c r="A27" s="280"/>
      <c r="B27" s="965" t="s">
        <v>384</v>
      </c>
      <c r="C27" s="965"/>
      <c r="D27" s="965"/>
      <c r="E27" s="965"/>
      <c r="F27" s="965"/>
      <c r="G27" s="965"/>
      <c r="H27" s="249"/>
      <c r="I27" s="249"/>
      <c r="J27" s="249"/>
      <c r="K27" s="249"/>
      <c r="L27" s="249"/>
      <c r="M27" s="280"/>
      <c r="N27" s="948" t="s">
        <v>384</v>
      </c>
      <c r="O27" s="948"/>
      <c r="P27" s="948"/>
      <c r="Q27" s="948"/>
      <c r="R27" s="948"/>
      <c r="S27" s="948"/>
      <c r="T27" s="948"/>
      <c r="U27" s="948"/>
    </row>
    <row r="28" spans="1:21" ht="16.5">
      <c r="A28" s="280"/>
      <c r="B28" s="833" t="s">
        <v>485</v>
      </c>
      <c r="C28" s="833"/>
      <c r="D28" s="833"/>
      <c r="E28" s="833"/>
      <c r="F28" s="250"/>
      <c r="G28" s="251"/>
      <c r="H28" s="252"/>
      <c r="I28" s="252"/>
      <c r="J28" s="252"/>
      <c r="K28" s="252"/>
      <c r="L28" s="252"/>
      <c r="M28" s="280"/>
      <c r="N28" s="743" t="s">
        <v>660</v>
      </c>
      <c r="O28" s="743"/>
      <c r="P28" s="743"/>
      <c r="Q28" s="743"/>
      <c r="R28" s="743"/>
      <c r="S28" s="743"/>
      <c r="T28" s="743"/>
      <c r="U28" s="743"/>
    </row>
    <row r="29" spans="1:21" s="15" customFormat="1" ht="15.75">
      <c r="A29" s="46"/>
      <c r="B29" s="46"/>
      <c r="C29" s="46"/>
      <c r="D29" s="46"/>
      <c r="E29" s="46"/>
      <c r="F29" s="46"/>
      <c r="G29" s="46"/>
      <c r="H29" s="46"/>
      <c r="I29" s="46"/>
      <c r="J29" s="46"/>
      <c r="K29" s="46"/>
      <c r="L29" s="46"/>
      <c r="M29" s="46"/>
      <c r="N29" s="793" t="s">
        <v>656</v>
      </c>
      <c r="O29" s="793"/>
      <c r="P29" s="793"/>
      <c r="Q29" s="793"/>
      <c r="R29" s="793"/>
      <c r="S29" s="793"/>
      <c r="T29" s="793"/>
      <c r="U29" s="793"/>
    </row>
    <row r="32" spans="1:21" ht="16.5">
      <c r="A32" s="15"/>
      <c r="B32" s="879" t="s">
        <v>390</v>
      </c>
      <c r="C32" s="879"/>
      <c r="D32" s="879"/>
      <c r="E32" s="879"/>
      <c r="N32" s="879" t="s">
        <v>2</v>
      </c>
      <c r="O32" s="879"/>
      <c r="P32" s="879"/>
      <c r="Q32" s="879"/>
      <c r="R32" s="879"/>
      <c r="S32" s="879"/>
      <c r="T32" s="879"/>
      <c r="U32" s="879"/>
    </row>
  </sheetData>
  <sheetProtection/>
  <mergeCells count="46">
    <mergeCell ref="D10:E10"/>
    <mergeCell ref="F10:F12"/>
    <mergeCell ref="G10:H10"/>
    <mergeCell ref="I10:I12"/>
    <mergeCell ref="A2:D2"/>
    <mergeCell ref="F2:N3"/>
    <mergeCell ref="A3:E3"/>
    <mergeCell ref="A4:E4"/>
    <mergeCell ref="F4:N4"/>
    <mergeCell ref="A5:E5"/>
    <mergeCell ref="A7:B12"/>
    <mergeCell ref="C7:E9"/>
    <mergeCell ref="F7:O7"/>
    <mergeCell ref="G11:G12"/>
    <mergeCell ref="H11:H12"/>
    <mergeCell ref="J11:J12"/>
    <mergeCell ref="K11:K12"/>
    <mergeCell ref="M11:M12"/>
    <mergeCell ref="N11:N12"/>
    <mergeCell ref="P8:P12"/>
    <mergeCell ref="Q8:U8"/>
    <mergeCell ref="I9:K9"/>
    <mergeCell ref="L9:O9"/>
    <mergeCell ref="Q9:Q12"/>
    <mergeCell ref="R9:R12"/>
    <mergeCell ref="S9:S12"/>
    <mergeCell ref="B32:E32"/>
    <mergeCell ref="N32:U32"/>
    <mergeCell ref="O11:O12"/>
    <mergeCell ref="A14:B14"/>
    <mergeCell ref="B27:G27"/>
    <mergeCell ref="B28:E28"/>
    <mergeCell ref="N28:U28"/>
    <mergeCell ref="T9:T12"/>
    <mergeCell ref="U9:U12"/>
    <mergeCell ref="C10:C12"/>
    <mergeCell ref="F5:N5"/>
    <mergeCell ref="N27:U27"/>
    <mergeCell ref="N29:U29"/>
    <mergeCell ref="J10:K10"/>
    <mergeCell ref="L10:L12"/>
    <mergeCell ref="M10:O10"/>
    <mergeCell ref="P7:U7"/>
    <mergeCell ref="F8:H9"/>
    <mergeCell ref="I8:O8"/>
    <mergeCell ref="P6:T6"/>
  </mergeCells>
  <printOptions/>
  <pageMargins left="0" right="0" top="0" bottom="0" header="0" footer="0"/>
  <pageSetup fitToHeight="1" fitToWidth="1" horizontalDpi="600" verticalDpi="600" orientation="landscape" paperSize="9" scale="99" r:id="rId1"/>
</worksheet>
</file>

<file path=xl/worksheets/sheet14.xml><?xml version="1.0" encoding="utf-8"?>
<worksheet xmlns="http://schemas.openxmlformats.org/spreadsheetml/2006/main" xmlns:r="http://schemas.openxmlformats.org/officeDocument/2006/relationships">
  <sheetPr>
    <tabColor indexed="39"/>
  </sheetPr>
  <dimension ref="A1:N36"/>
  <sheetViews>
    <sheetView zoomScalePageLayoutView="0" workbookViewId="0" topLeftCell="A7">
      <selection activeCell="H25" sqref="H25:L25"/>
    </sheetView>
  </sheetViews>
  <sheetFormatPr defaultColWidth="9.00390625" defaultRowHeight="15.75"/>
  <cols>
    <col min="1" max="1" width="3.50390625" style="76" customWidth="1"/>
    <col min="2" max="2" width="24.00390625" style="76" customWidth="1"/>
    <col min="3" max="3" width="14.875" style="76" customWidth="1"/>
    <col min="4" max="4" width="11.125" style="76" customWidth="1"/>
    <col min="5" max="5" width="10.125" style="76" customWidth="1"/>
    <col min="6" max="9" width="11.125" style="76" customWidth="1"/>
    <col min="10" max="10" width="10.625" style="76" customWidth="1"/>
    <col min="11" max="11" width="9.625" style="76" customWidth="1"/>
    <col min="12" max="12" width="10.25390625" style="76" customWidth="1"/>
    <col min="13" max="16384" width="9.00390625" style="76" customWidth="1"/>
  </cols>
  <sheetData>
    <row r="1" spans="1:12" ht="18.75" customHeight="1">
      <c r="A1" s="996" t="s">
        <v>371</v>
      </c>
      <c r="B1" s="996"/>
      <c r="C1" s="996"/>
      <c r="D1" s="997" t="s">
        <v>7</v>
      </c>
      <c r="E1" s="997"/>
      <c r="F1" s="997"/>
      <c r="G1" s="997"/>
      <c r="H1" s="997"/>
      <c r="I1" s="997"/>
      <c r="J1" s="988" t="s">
        <v>379</v>
      </c>
      <c r="K1" s="988"/>
      <c r="L1" s="988"/>
    </row>
    <row r="2" spans="1:13" ht="15.75" customHeight="1">
      <c r="A2" s="1001" t="s">
        <v>370</v>
      </c>
      <c r="B2" s="1001"/>
      <c r="C2" s="1001"/>
      <c r="D2" s="997"/>
      <c r="E2" s="997"/>
      <c r="F2" s="997"/>
      <c r="G2" s="997"/>
      <c r="H2" s="997"/>
      <c r="I2" s="997"/>
      <c r="J2" s="989" t="s">
        <v>388</v>
      </c>
      <c r="K2" s="989"/>
      <c r="L2" s="989"/>
      <c r="M2" s="108"/>
    </row>
    <row r="3" spans="1:13" ht="15.75" customHeight="1">
      <c r="A3" s="996" t="s">
        <v>368</v>
      </c>
      <c r="B3" s="996"/>
      <c r="C3" s="996"/>
      <c r="D3" s="997"/>
      <c r="E3" s="997"/>
      <c r="F3" s="997"/>
      <c r="G3" s="997"/>
      <c r="H3" s="997"/>
      <c r="I3" s="997"/>
      <c r="J3" s="988" t="s">
        <v>378</v>
      </c>
      <c r="K3" s="988"/>
      <c r="L3" s="988"/>
      <c r="M3" s="109"/>
    </row>
    <row r="4" spans="1:13" ht="15.75" customHeight="1">
      <c r="A4" s="110" t="s">
        <v>372</v>
      </c>
      <c r="B4" s="110"/>
      <c r="C4" s="72"/>
      <c r="D4" s="980" t="s">
        <v>1</v>
      </c>
      <c r="E4" s="980"/>
      <c r="F4" s="980"/>
      <c r="G4" s="980"/>
      <c r="H4" s="980"/>
      <c r="I4" s="980"/>
      <c r="J4" s="989" t="s">
        <v>392</v>
      </c>
      <c r="K4" s="989"/>
      <c r="L4" s="989"/>
      <c r="M4" s="108"/>
    </row>
    <row r="5" spans="1:13" ht="15.75">
      <c r="A5" s="110"/>
      <c r="B5" s="110"/>
      <c r="C5" s="72"/>
      <c r="D5" s="72"/>
      <c r="E5" s="72"/>
      <c r="F5" s="72"/>
      <c r="G5" s="72"/>
      <c r="H5" s="72"/>
      <c r="I5" s="72"/>
      <c r="J5" s="983" t="s">
        <v>109</v>
      </c>
      <c r="K5" s="983"/>
      <c r="L5" s="983"/>
      <c r="M5" s="108"/>
    </row>
    <row r="6" spans="1:13" ht="15.75">
      <c r="A6" s="981" t="s">
        <v>294</v>
      </c>
      <c r="B6" s="981"/>
      <c r="C6" s="998" t="s">
        <v>362</v>
      </c>
      <c r="D6" s="982" t="s">
        <v>374</v>
      </c>
      <c r="E6" s="982"/>
      <c r="F6" s="982"/>
      <c r="G6" s="982"/>
      <c r="H6" s="982"/>
      <c r="I6" s="982"/>
      <c r="J6" s="981" t="s">
        <v>365</v>
      </c>
      <c r="K6" s="981"/>
      <c r="L6" s="981"/>
      <c r="M6" s="108"/>
    </row>
    <row r="7" spans="1:13" ht="15.75" customHeight="1">
      <c r="A7" s="981"/>
      <c r="B7" s="981"/>
      <c r="C7" s="998"/>
      <c r="D7" s="982" t="s">
        <v>106</v>
      </c>
      <c r="E7" s="982"/>
      <c r="F7" s="982"/>
      <c r="G7" s="982"/>
      <c r="H7" s="982"/>
      <c r="I7" s="982"/>
      <c r="J7" s="981"/>
      <c r="K7" s="981"/>
      <c r="L7" s="981"/>
      <c r="M7" s="110"/>
    </row>
    <row r="8" spans="1:12" s="113" customFormat="1" ht="21" customHeight="1">
      <c r="A8" s="981"/>
      <c r="B8" s="981"/>
      <c r="C8" s="998"/>
      <c r="D8" s="981" t="s">
        <v>363</v>
      </c>
      <c r="E8" s="981" t="s">
        <v>364</v>
      </c>
      <c r="F8" s="981"/>
      <c r="G8" s="981"/>
      <c r="H8" s="981"/>
      <c r="I8" s="981"/>
      <c r="J8" s="981"/>
      <c r="K8" s="981"/>
      <c r="L8" s="981"/>
    </row>
    <row r="9" spans="1:12" s="113" customFormat="1" ht="15.75" customHeight="1">
      <c r="A9" s="981"/>
      <c r="B9" s="981"/>
      <c r="C9" s="998"/>
      <c r="D9" s="981"/>
      <c r="E9" s="981" t="s">
        <v>366</v>
      </c>
      <c r="F9" s="981" t="s">
        <v>106</v>
      </c>
      <c r="G9" s="981"/>
      <c r="H9" s="981"/>
      <c r="I9" s="981"/>
      <c r="J9" s="981" t="s">
        <v>106</v>
      </c>
      <c r="K9" s="981"/>
      <c r="L9" s="981"/>
    </row>
    <row r="10" spans="1:12" s="113" customFormat="1" ht="65.25" customHeight="1">
      <c r="A10" s="981"/>
      <c r="B10" s="981"/>
      <c r="C10" s="998"/>
      <c r="D10" s="981"/>
      <c r="E10" s="981"/>
      <c r="F10" s="111" t="s">
        <v>130</v>
      </c>
      <c r="G10" s="111" t="s">
        <v>132</v>
      </c>
      <c r="H10" s="111" t="s">
        <v>124</v>
      </c>
      <c r="I10" s="111" t="s">
        <v>131</v>
      </c>
      <c r="J10" s="111" t="s">
        <v>123</v>
      </c>
      <c r="K10" s="111" t="s">
        <v>128</v>
      </c>
      <c r="L10" s="111" t="s">
        <v>129</v>
      </c>
    </row>
    <row r="11" spans="1:12" ht="13.5" customHeight="1">
      <c r="A11" s="992" t="s">
        <v>104</v>
      </c>
      <c r="B11" s="993"/>
      <c r="C11" s="376">
        <v>1</v>
      </c>
      <c r="D11" s="376" t="s">
        <v>213</v>
      </c>
      <c r="E11" s="376" t="s">
        <v>214</v>
      </c>
      <c r="F11" s="376" t="s">
        <v>296</v>
      </c>
      <c r="G11" s="376" t="s">
        <v>297</v>
      </c>
      <c r="H11" s="376" t="s">
        <v>298</v>
      </c>
      <c r="I11" s="376" t="s">
        <v>299</v>
      </c>
      <c r="J11" s="376" t="s">
        <v>300</v>
      </c>
      <c r="K11" s="376" t="s">
        <v>301</v>
      </c>
      <c r="L11" s="376" t="s">
        <v>345</v>
      </c>
    </row>
    <row r="12" spans="1:14" ht="20.25" customHeight="1">
      <c r="A12" s="999" t="s">
        <v>146</v>
      </c>
      <c r="B12" s="1000"/>
      <c r="C12" s="540">
        <f>C13+C14</f>
        <v>162</v>
      </c>
      <c r="D12" s="540">
        <f aca="true" t="shared" si="0" ref="D12:L12">D13+D14</f>
        <v>76</v>
      </c>
      <c r="E12" s="540">
        <f t="shared" si="0"/>
        <v>86</v>
      </c>
      <c r="F12" s="540">
        <f t="shared" si="0"/>
        <v>35</v>
      </c>
      <c r="G12" s="540">
        <f t="shared" si="0"/>
        <v>43</v>
      </c>
      <c r="H12" s="540">
        <f t="shared" si="0"/>
        <v>6</v>
      </c>
      <c r="I12" s="540">
        <f t="shared" si="0"/>
        <v>2</v>
      </c>
      <c r="J12" s="540">
        <f t="shared" si="0"/>
        <v>13</v>
      </c>
      <c r="K12" s="540">
        <f t="shared" si="0"/>
        <v>136</v>
      </c>
      <c r="L12" s="540">
        <f t="shared" si="0"/>
        <v>13</v>
      </c>
      <c r="M12" s="398">
        <f>J12+K12+L12</f>
        <v>162</v>
      </c>
      <c r="N12" s="398"/>
    </row>
    <row r="13" spans="1:14" ht="20.25" customHeight="1">
      <c r="A13" s="115" t="s">
        <v>14</v>
      </c>
      <c r="B13" s="225" t="s">
        <v>342</v>
      </c>
      <c r="C13" s="540">
        <f>D13+E13</f>
        <v>5</v>
      </c>
      <c r="D13" s="359">
        <v>4</v>
      </c>
      <c r="E13" s="540">
        <f>F13+G13+H13+I13</f>
        <v>1</v>
      </c>
      <c r="F13" s="359">
        <v>0</v>
      </c>
      <c r="G13" s="359">
        <v>0</v>
      </c>
      <c r="H13" s="359">
        <v>0</v>
      </c>
      <c r="I13" s="359">
        <v>1</v>
      </c>
      <c r="J13" s="359">
        <v>0</v>
      </c>
      <c r="K13" s="359">
        <v>5</v>
      </c>
      <c r="L13" s="359">
        <v>0</v>
      </c>
      <c r="M13" s="398">
        <f aca="true" t="shared" si="1" ref="M13:M24">J13+K13+L13</f>
        <v>5</v>
      </c>
      <c r="N13" s="398"/>
    </row>
    <row r="14" spans="1:14" ht="18" customHeight="1">
      <c r="A14" s="116" t="s">
        <v>15</v>
      </c>
      <c r="B14" s="225" t="s">
        <v>125</v>
      </c>
      <c r="C14" s="540">
        <f>C15+C16+C17+C18+C19+C20+C21+C22+C23+C24</f>
        <v>157</v>
      </c>
      <c r="D14" s="540">
        <f aca="true" t="shared" si="2" ref="D14:L14">D15+D16+D17+D18+D19+D20+D21+D22+D23+D24</f>
        <v>72</v>
      </c>
      <c r="E14" s="540">
        <f t="shared" si="2"/>
        <v>85</v>
      </c>
      <c r="F14" s="540">
        <f t="shared" si="2"/>
        <v>35</v>
      </c>
      <c r="G14" s="540">
        <f t="shared" si="2"/>
        <v>43</v>
      </c>
      <c r="H14" s="540">
        <f t="shared" si="2"/>
        <v>6</v>
      </c>
      <c r="I14" s="540">
        <f t="shared" si="2"/>
        <v>1</v>
      </c>
      <c r="J14" s="540">
        <f t="shared" si="2"/>
        <v>13</v>
      </c>
      <c r="K14" s="540">
        <f t="shared" si="2"/>
        <v>131</v>
      </c>
      <c r="L14" s="540">
        <f t="shared" si="2"/>
        <v>13</v>
      </c>
      <c r="M14" s="398">
        <f t="shared" si="1"/>
        <v>157</v>
      </c>
      <c r="N14" s="398"/>
    </row>
    <row r="15" spans="1:14" ht="20.25" customHeight="1">
      <c r="A15" s="114" t="s">
        <v>212</v>
      </c>
      <c r="B15" s="425" t="s">
        <v>446</v>
      </c>
      <c r="C15" s="540">
        <f>D15+E15</f>
        <v>28</v>
      </c>
      <c r="D15" s="359">
        <v>28</v>
      </c>
      <c r="E15" s="540">
        <f>F15+G15+H15+I15</f>
        <v>0</v>
      </c>
      <c r="F15" s="359">
        <v>0</v>
      </c>
      <c r="G15" s="359">
        <v>0</v>
      </c>
      <c r="H15" s="359">
        <v>0</v>
      </c>
      <c r="I15" s="359">
        <v>0</v>
      </c>
      <c r="J15" s="359">
        <v>0</v>
      </c>
      <c r="K15" s="359">
        <v>28</v>
      </c>
      <c r="L15" s="359">
        <v>0</v>
      </c>
      <c r="M15" s="398">
        <f t="shared" si="1"/>
        <v>28</v>
      </c>
      <c r="N15" s="398"/>
    </row>
    <row r="16" spans="1:14" ht="20.25" customHeight="1">
      <c r="A16" s="114">
        <v>2</v>
      </c>
      <c r="B16" s="425" t="s">
        <v>447</v>
      </c>
      <c r="C16" s="540">
        <f aca="true" t="shared" si="3" ref="C16:C24">D16+E16</f>
        <v>39</v>
      </c>
      <c r="D16" s="359">
        <v>29</v>
      </c>
      <c r="E16" s="540">
        <f aca="true" t="shared" si="4" ref="E16:E24">F16+G16+H16+I16</f>
        <v>10</v>
      </c>
      <c r="F16" s="359">
        <v>0</v>
      </c>
      <c r="G16" s="359">
        <v>7</v>
      </c>
      <c r="H16" s="359">
        <v>3</v>
      </c>
      <c r="I16" s="359">
        <v>0</v>
      </c>
      <c r="J16" s="359">
        <v>1</v>
      </c>
      <c r="K16" s="359">
        <v>38</v>
      </c>
      <c r="L16" s="359">
        <v>0</v>
      </c>
      <c r="M16" s="398">
        <f t="shared" si="1"/>
        <v>39</v>
      </c>
      <c r="N16" s="398"/>
    </row>
    <row r="17" spans="1:14" ht="20.25" customHeight="1">
      <c r="A17" s="114">
        <v>3</v>
      </c>
      <c r="B17" s="425" t="s">
        <v>448</v>
      </c>
      <c r="C17" s="540">
        <f t="shared" si="3"/>
        <v>34</v>
      </c>
      <c r="D17" s="359">
        <v>2</v>
      </c>
      <c r="E17" s="540">
        <f t="shared" si="4"/>
        <v>32</v>
      </c>
      <c r="F17" s="359">
        <v>32</v>
      </c>
      <c r="G17" s="359">
        <v>0</v>
      </c>
      <c r="H17" s="359">
        <v>0</v>
      </c>
      <c r="I17" s="359">
        <v>0</v>
      </c>
      <c r="J17" s="359">
        <v>2</v>
      </c>
      <c r="K17" s="359">
        <v>31</v>
      </c>
      <c r="L17" s="359">
        <v>1</v>
      </c>
      <c r="M17" s="398">
        <f t="shared" si="1"/>
        <v>34</v>
      </c>
      <c r="N17" s="398"/>
    </row>
    <row r="18" spans="1:14" ht="20.25" customHeight="1">
      <c r="A18" s="114">
        <v>4</v>
      </c>
      <c r="B18" s="425" t="s">
        <v>449</v>
      </c>
      <c r="C18" s="540">
        <f t="shared" si="3"/>
        <v>6</v>
      </c>
      <c r="D18" s="359">
        <v>2</v>
      </c>
      <c r="E18" s="540">
        <f t="shared" si="4"/>
        <v>4</v>
      </c>
      <c r="F18" s="359">
        <v>0</v>
      </c>
      <c r="G18" s="359">
        <v>3</v>
      </c>
      <c r="H18" s="359">
        <v>0</v>
      </c>
      <c r="I18" s="359">
        <v>1</v>
      </c>
      <c r="J18" s="359">
        <v>0</v>
      </c>
      <c r="K18" s="359">
        <v>6</v>
      </c>
      <c r="L18" s="359">
        <v>0</v>
      </c>
      <c r="M18" s="398">
        <f t="shared" si="1"/>
        <v>6</v>
      </c>
      <c r="N18" s="398"/>
    </row>
    <row r="19" spans="1:14" ht="20.25" customHeight="1">
      <c r="A19" s="114">
        <v>5</v>
      </c>
      <c r="B19" s="425" t="s">
        <v>450</v>
      </c>
      <c r="C19" s="540">
        <f t="shared" si="3"/>
        <v>34</v>
      </c>
      <c r="D19" s="359">
        <v>5</v>
      </c>
      <c r="E19" s="540">
        <f t="shared" si="4"/>
        <v>29</v>
      </c>
      <c r="F19" s="359">
        <v>0</v>
      </c>
      <c r="G19" s="359">
        <v>28</v>
      </c>
      <c r="H19" s="359">
        <v>1</v>
      </c>
      <c r="I19" s="359">
        <v>0</v>
      </c>
      <c r="J19" s="359">
        <v>10</v>
      </c>
      <c r="K19" s="359">
        <v>13</v>
      </c>
      <c r="L19" s="359">
        <v>11</v>
      </c>
      <c r="M19" s="398">
        <f t="shared" si="1"/>
        <v>34</v>
      </c>
      <c r="N19" s="398"/>
    </row>
    <row r="20" spans="1:14" ht="20.25" customHeight="1">
      <c r="A20" s="114">
        <v>6</v>
      </c>
      <c r="B20" s="425" t="s">
        <v>451</v>
      </c>
      <c r="C20" s="540">
        <f t="shared" si="3"/>
        <v>3</v>
      </c>
      <c r="D20" s="359">
        <v>0</v>
      </c>
      <c r="E20" s="540">
        <f t="shared" si="4"/>
        <v>3</v>
      </c>
      <c r="F20" s="359">
        <v>1</v>
      </c>
      <c r="G20" s="359">
        <v>0</v>
      </c>
      <c r="H20" s="359">
        <v>2</v>
      </c>
      <c r="I20" s="359">
        <v>0</v>
      </c>
      <c r="J20" s="359">
        <v>0</v>
      </c>
      <c r="K20" s="359">
        <v>3</v>
      </c>
      <c r="L20" s="359">
        <v>0</v>
      </c>
      <c r="M20" s="398">
        <f t="shared" si="1"/>
        <v>3</v>
      </c>
      <c r="N20" s="398"/>
    </row>
    <row r="21" spans="1:14" ht="20.25" customHeight="1">
      <c r="A21" s="114">
        <v>7</v>
      </c>
      <c r="B21" s="425" t="s">
        <v>452</v>
      </c>
      <c r="C21" s="540">
        <f t="shared" si="3"/>
        <v>7</v>
      </c>
      <c r="D21" s="359">
        <v>6</v>
      </c>
      <c r="E21" s="540">
        <f t="shared" si="4"/>
        <v>1</v>
      </c>
      <c r="F21" s="359">
        <v>0</v>
      </c>
      <c r="G21" s="359">
        <v>1</v>
      </c>
      <c r="H21" s="359">
        <v>0</v>
      </c>
      <c r="I21" s="359">
        <v>0</v>
      </c>
      <c r="J21" s="359">
        <v>0</v>
      </c>
      <c r="K21" s="359">
        <v>7</v>
      </c>
      <c r="L21" s="359">
        <v>0</v>
      </c>
      <c r="M21" s="398">
        <f t="shared" si="1"/>
        <v>7</v>
      </c>
      <c r="N21" s="398"/>
    </row>
    <row r="22" spans="1:14" ht="20.25" customHeight="1">
      <c r="A22" s="114">
        <v>8</v>
      </c>
      <c r="B22" s="425" t="s">
        <v>453</v>
      </c>
      <c r="C22" s="540">
        <f t="shared" si="3"/>
        <v>2</v>
      </c>
      <c r="D22" s="359">
        <v>0</v>
      </c>
      <c r="E22" s="540">
        <f t="shared" si="4"/>
        <v>2</v>
      </c>
      <c r="F22" s="359">
        <v>2</v>
      </c>
      <c r="G22" s="359">
        <v>0</v>
      </c>
      <c r="H22" s="359">
        <v>0</v>
      </c>
      <c r="I22" s="359">
        <v>0</v>
      </c>
      <c r="J22" s="359">
        <v>0</v>
      </c>
      <c r="K22" s="359">
        <v>1</v>
      </c>
      <c r="L22" s="359">
        <v>1</v>
      </c>
      <c r="M22" s="398">
        <f t="shared" si="1"/>
        <v>2</v>
      </c>
      <c r="N22" s="398"/>
    </row>
    <row r="23" spans="1:14" ht="20.25" customHeight="1">
      <c r="A23" s="114">
        <v>9</v>
      </c>
      <c r="B23" s="425" t="s">
        <v>454</v>
      </c>
      <c r="C23" s="540">
        <f t="shared" si="3"/>
        <v>2</v>
      </c>
      <c r="D23" s="359">
        <v>0</v>
      </c>
      <c r="E23" s="540">
        <f t="shared" si="4"/>
        <v>2</v>
      </c>
      <c r="F23" s="359">
        <v>0</v>
      </c>
      <c r="G23" s="359">
        <v>2</v>
      </c>
      <c r="H23" s="359">
        <v>0</v>
      </c>
      <c r="I23" s="359">
        <v>0</v>
      </c>
      <c r="J23" s="359">
        <v>0</v>
      </c>
      <c r="K23" s="359">
        <v>2</v>
      </c>
      <c r="L23" s="359">
        <v>0</v>
      </c>
      <c r="M23" s="398">
        <f t="shared" si="1"/>
        <v>2</v>
      </c>
      <c r="N23" s="398"/>
    </row>
    <row r="24" spans="1:14" ht="20.25" customHeight="1" thickBot="1">
      <c r="A24" s="228">
        <v>10</v>
      </c>
      <c r="B24" s="684" t="s">
        <v>455</v>
      </c>
      <c r="C24" s="714">
        <f t="shared" si="3"/>
        <v>2</v>
      </c>
      <c r="D24" s="715">
        <v>0</v>
      </c>
      <c r="E24" s="714">
        <f t="shared" si="4"/>
        <v>2</v>
      </c>
      <c r="F24" s="715">
        <v>0</v>
      </c>
      <c r="G24" s="715">
        <v>2</v>
      </c>
      <c r="H24" s="715">
        <v>0</v>
      </c>
      <c r="I24" s="715">
        <v>0</v>
      </c>
      <c r="J24" s="715">
        <v>0</v>
      </c>
      <c r="K24" s="715">
        <v>2</v>
      </c>
      <c r="L24" s="715">
        <v>0</v>
      </c>
      <c r="M24" s="398">
        <f t="shared" si="1"/>
        <v>2</v>
      </c>
      <c r="N24" s="398"/>
    </row>
    <row r="25" spans="1:12" ht="18" customHeight="1" thickTop="1">
      <c r="A25" s="994" t="s">
        <v>239</v>
      </c>
      <c r="B25" s="995"/>
      <c r="C25" s="995"/>
      <c r="D25" s="995"/>
      <c r="E25" s="119"/>
      <c r="F25" s="119"/>
      <c r="G25" s="119"/>
      <c r="H25" s="985" t="s">
        <v>240</v>
      </c>
      <c r="I25" s="985"/>
      <c r="J25" s="985"/>
      <c r="K25" s="985"/>
      <c r="L25" s="985"/>
    </row>
    <row r="26" spans="1:12" ht="16.5">
      <c r="A26" s="995"/>
      <c r="B26" s="995"/>
      <c r="C26" s="995"/>
      <c r="D26" s="995"/>
      <c r="E26" s="119"/>
      <c r="F26" s="119"/>
      <c r="G26" s="119"/>
      <c r="H26" s="986" t="s">
        <v>660</v>
      </c>
      <c r="I26" s="986"/>
      <c r="J26" s="986"/>
      <c r="K26" s="986"/>
      <c r="L26" s="986"/>
    </row>
    <row r="27" spans="1:12" s="101" customFormat="1" ht="16.5" customHeight="1">
      <c r="A27" s="984"/>
      <c r="B27" s="984"/>
      <c r="C27" s="984"/>
      <c r="D27" s="984"/>
      <c r="E27" s="120"/>
      <c r="F27" s="120"/>
      <c r="G27" s="120"/>
      <c r="H27" s="987" t="s">
        <v>656</v>
      </c>
      <c r="I27" s="987"/>
      <c r="J27" s="987"/>
      <c r="K27" s="987"/>
      <c r="L27" s="987"/>
    </row>
    <row r="28" spans="2:8" ht="15.75">
      <c r="B28" s="120"/>
      <c r="C28" s="120"/>
      <c r="D28" s="120"/>
      <c r="E28" s="120"/>
      <c r="F28" s="120"/>
      <c r="G28" s="120"/>
      <c r="H28" s="120"/>
    </row>
    <row r="29" spans="2:10" ht="15.75">
      <c r="B29" s="120"/>
      <c r="C29" s="120"/>
      <c r="D29" s="120"/>
      <c r="E29" s="120"/>
      <c r="F29" s="120"/>
      <c r="G29" s="120"/>
      <c r="H29" s="120"/>
      <c r="I29" s="120"/>
      <c r="J29" s="120"/>
    </row>
    <row r="30" spans="2:10" ht="15.75">
      <c r="B30" s="120"/>
      <c r="C30" s="120"/>
      <c r="D30" s="120"/>
      <c r="E30" s="120"/>
      <c r="F30" s="120"/>
      <c r="G30" s="120"/>
      <c r="H30" s="120"/>
      <c r="I30" s="120"/>
      <c r="J30" s="120"/>
    </row>
    <row r="31" spans="2:10" ht="22.5" customHeight="1" hidden="1">
      <c r="B31" s="120"/>
      <c r="C31" s="120"/>
      <c r="D31" s="120"/>
      <c r="E31" s="120"/>
      <c r="F31" s="120"/>
      <c r="G31" s="120"/>
      <c r="H31" s="120"/>
      <c r="I31" s="120"/>
      <c r="J31" s="120"/>
    </row>
    <row r="32" spans="1:10" ht="15.75" hidden="1">
      <c r="A32" s="121" t="s">
        <v>188</v>
      </c>
      <c r="B32" s="120"/>
      <c r="C32" s="120"/>
      <c r="D32" s="120"/>
      <c r="E32" s="120"/>
      <c r="F32" s="120"/>
      <c r="G32" s="120"/>
      <c r="H32" s="120"/>
      <c r="I32" s="120"/>
      <c r="J32" s="120"/>
    </row>
    <row r="33" spans="2:12" ht="15.75" customHeight="1" hidden="1">
      <c r="B33" s="991" t="s">
        <v>217</v>
      </c>
      <c r="C33" s="991"/>
      <c r="D33" s="991"/>
      <c r="E33" s="991"/>
      <c r="F33" s="991"/>
      <c r="G33" s="991"/>
      <c r="H33" s="991"/>
      <c r="I33" s="991"/>
      <c r="J33" s="991"/>
      <c r="K33" s="991"/>
      <c r="L33" s="991"/>
    </row>
    <row r="34" spans="1:12" ht="16.5" customHeight="1" hidden="1">
      <c r="A34" s="122"/>
      <c r="B34" s="990" t="s">
        <v>219</v>
      </c>
      <c r="C34" s="990"/>
      <c r="D34" s="990"/>
      <c r="E34" s="990"/>
      <c r="F34" s="990"/>
      <c r="G34" s="990"/>
      <c r="H34" s="990"/>
      <c r="I34" s="990"/>
      <c r="J34" s="990"/>
      <c r="K34" s="990"/>
      <c r="L34" s="990"/>
    </row>
    <row r="35" ht="15.75" hidden="1">
      <c r="B35" s="106" t="s">
        <v>218</v>
      </c>
    </row>
    <row r="36" spans="1:13" ht="16.5">
      <c r="A36" s="987" t="s">
        <v>390</v>
      </c>
      <c r="B36" s="987"/>
      <c r="C36" s="987"/>
      <c r="D36" s="987"/>
      <c r="E36" s="150"/>
      <c r="F36" s="150"/>
      <c r="G36" s="150"/>
      <c r="H36" s="987" t="s">
        <v>2</v>
      </c>
      <c r="I36" s="987"/>
      <c r="J36" s="987"/>
      <c r="K36" s="987"/>
      <c r="L36" s="987"/>
      <c r="M36" s="150"/>
    </row>
  </sheetData>
  <sheetProtection/>
  <mergeCells count="31">
    <mergeCell ref="A11:B11"/>
    <mergeCell ref="A25:D26"/>
    <mergeCell ref="A3:C3"/>
    <mergeCell ref="D1:I3"/>
    <mergeCell ref="C6:C10"/>
    <mergeCell ref="E9:E10"/>
    <mergeCell ref="A6:B10"/>
    <mergeCell ref="A12:B12"/>
    <mergeCell ref="A1:C1"/>
    <mergeCell ref="A2:C2"/>
    <mergeCell ref="H36:L36"/>
    <mergeCell ref="A36:D36"/>
    <mergeCell ref="B34:L34"/>
    <mergeCell ref="B33:L33"/>
    <mergeCell ref="J1:L1"/>
    <mergeCell ref="J2:L2"/>
    <mergeCell ref="J3:L3"/>
    <mergeCell ref="J4:L4"/>
    <mergeCell ref="A27:D27"/>
    <mergeCell ref="H25:L25"/>
    <mergeCell ref="H26:L26"/>
    <mergeCell ref="H27:L27"/>
    <mergeCell ref="D4:I4"/>
    <mergeCell ref="J9:L9"/>
    <mergeCell ref="D8:D10"/>
    <mergeCell ref="F9:I9"/>
    <mergeCell ref="E8:I8"/>
    <mergeCell ref="J6:L8"/>
    <mergeCell ref="D7:I7"/>
    <mergeCell ref="D6:I6"/>
    <mergeCell ref="J5:L5"/>
  </mergeCells>
  <printOptions/>
  <pageMargins left="0.25" right="0" top="0.25" bottom="0" header="0.26" footer="0.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3" customWidth="1"/>
    <col min="2" max="2" width="26.00390625" style="23" customWidth="1"/>
    <col min="3" max="3" width="16.625" style="23" customWidth="1"/>
    <col min="4" max="4" width="20.25390625" style="23" customWidth="1"/>
    <col min="5" max="5" width="12.625" style="23" customWidth="1"/>
    <col min="6" max="6" width="15.25390625" style="23" customWidth="1"/>
    <col min="7" max="7" width="12.375" style="23" customWidth="1"/>
    <col min="8" max="8" width="15.00390625" style="23" customWidth="1"/>
    <col min="9" max="16384" width="9.00390625" style="23" customWidth="1"/>
  </cols>
  <sheetData>
    <row r="1" spans="1:8" ht="19.5" customHeight="1">
      <c r="A1" s="1008" t="s">
        <v>134</v>
      </c>
      <c r="B1" s="1008"/>
      <c r="C1" s="1005" t="s">
        <v>334</v>
      </c>
      <c r="D1" s="1005"/>
      <c r="E1" s="1005"/>
      <c r="F1" s="1009" t="s">
        <v>330</v>
      </c>
      <c r="G1" s="1009"/>
      <c r="H1" s="1009"/>
    </row>
    <row r="2" spans="1:8" ht="33.75" customHeight="1">
      <c r="A2" s="1010" t="s">
        <v>337</v>
      </c>
      <c r="B2" s="1010"/>
      <c r="C2" s="1005"/>
      <c r="D2" s="1005"/>
      <c r="E2" s="1005"/>
      <c r="F2" s="1002" t="s">
        <v>331</v>
      </c>
      <c r="G2" s="1002"/>
      <c r="H2" s="1002"/>
    </row>
    <row r="3" spans="1:8" ht="19.5" customHeight="1">
      <c r="A3" s="47" t="s">
        <v>309</v>
      </c>
      <c r="B3" s="47"/>
      <c r="C3" s="65"/>
      <c r="D3" s="65"/>
      <c r="E3" s="65"/>
      <c r="F3" s="1002" t="s">
        <v>332</v>
      </c>
      <c r="G3" s="1002"/>
      <c r="H3" s="1002"/>
    </row>
    <row r="4" spans="1:8" s="48" customFormat="1" ht="19.5" customHeight="1">
      <c r="A4" s="47"/>
      <c r="B4" s="47"/>
      <c r="D4" s="49"/>
      <c r="F4" s="50" t="s">
        <v>333</v>
      </c>
      <c r="G4" s="50"/>
      <c r="H4" s="50"/>
    </row>
    <row r="5" spans="1:8" s="64" customFormat="1" ht="36" customHeight="1">
      <c r="A5" s="1021" t="s">
        <v>294</v>
      </c>
      <c r="B5" s="1022"/>
      <c r="C5" s="1025" t="s">
        <v>328</v>
      </c>
      <c r="D5" s="1026"/>
      <c r="E5" s="1027" t="s">
        <v>327</v>
      </c>
      <c r="F5" s="1027"/>
      <c r="G5" s="1027"/>
      <c r="H5" s="1004"/>
    </row>
    <row r="6" spans="1:8" s="64" customFormat="1" ht="20.25" customHeight="1">
      <c r="A6" s="1023"/>
      <c r="B6" s="1024"/>
      <c r="C6" s="1006" t="s">
        <v>21</v>
      </c>
      <c r="D6" s="1006" t="s">
        <v>335</v>
      </c>
      <c r="E6" s="1003" t="s">
        <v>329</v>
      </c>
      <c r="F6" s="1004"/>
      <c r="G6" s="1003" t="s">
        <v>336</v>
      </c>
      <c r="H6" s="1004"/>
    </row>
    <row r="7" spans="1:8" s="64" customFormat="1" ht="52.5" customHeight="1">
      <c r="A7" s="1023"/>
      <c r="B7" s="1024"/>
      <c r="C7" s="1007"/>
      <c r="D7" s="1007"/>
      <c r="E7" s="43" t="s">
        <v>21</v>
      </c>
      <c r="F7" s="43" t="s">
        <v>112</v>
      </c>
      <c r="G7" s="43" t="s">
        <v>21</v>
      </c>
      <c r="H7" s="43" t="s">
        <v>112</v>
      </c>
    </row>
    <row r="8" spans="1:8" ht="15" customHeight="1">
      <c r="A8" s="1012" t="s">
        <v>105</v>
      </c>
      <c r="B8" s="1013"/>
      <c r="C8" s="51">
        <v>1</v>
      </c>
      <c r="D8" s="51" t="s">
        <v>213</v>
      </c>
      <c r="E8" s="51" t="s">
        <v>214</v>
      </c>
      <c r="F8" s="51" t="s">
        <v>296</v>
      </c>
      <c r="G8" s="51" t="s">
        <v>297</v>
      </c>
      <c r="H8" s="51" t="s">
        <v>298</v>
      </c>
    </row>
    <row r="9" spans="1:8" ht="26.25" customHeight="1">
      <c r="A9" s="1014" t="s">
        <v>170</v>
      </c>
      <c r="B9" s="1015"/>
      <c r="C9" s="51"/>
      <c r="D9" s="51"/>
      <c r="E9" s="51"/>
      <c r="F9" s="51"/>
      <c r="G9" s="51"/>
      <c r="H9" s="51"/>
    </row>
    <row r="10" spans="1:8" ht="24.75" customHeight="1">
      <c r="A10" s="52" t="s">
        <v>14</v>
      </c>
      <c r="B10" s="53" t="s">
        <v>116</v>
      </c>
      <c r="C10" s="39"/>
      <c r="D10" s="54"/>
      <c r="E10" s="54"/>
      <c r="F10" s="54"/>
      <c r="G10" s="54"/>
      <c r="H10" s="54"/>
    </row>
    <row r="11" spans="1:8" ht="24.75" customHeight="1">
      <c r="A11" s="55" t="s">
        <v>15</v>
      </c>
      <c r="B11" s="56" t="s">
        <v>117</v>
      </c>
      <c r="C11" s="39"/>
      <c r="D11" s="54"/>
      <c r="E11" s="54"/>
      <c r="F11" s="54"/>
      <c r="G11" s="54"/>
      <c r="H11" s="54"/>
    </row>
    <row r="12" spans="1:8" ht="24.75" customHeight="1">
      <c r="A12" s="57" t="s">
        <v>212</v>
      </c>
      <c r="B12" s="39" t="s">
        <v>118</v>
      </c>
      <c r="C12" s="39"/>
      <c r="D12" s="54"/>
      <c r="E12" s="54"/>
      <c r="F12" s="54"/>
      <c r="G12" s="54"/>
      <c r="H12" s="54"/>
    </row>
    <row r="13" spans="1:8" ht="24.75" customHeight="1">
      <c r="A13" s="57" t="s">
        <v>213</v>
      </c>
      <c r="B13" s="39" t="s">
        <v>118</v>
      </c>
      <c r="C13" s="39"/>
      <c r="D13" s="54"/>
      <c r="E13" s="54"/>
      <c r="F13" s="54"/>
      <c r="G13" s="54"/>
      <c r="H13" s="54"/>
    </row>
    <row r="14" spans="1:8" ht="24.75" customHeight="1">
      <c r="A14" s="57" t="s">
        <v>214</v>
      </c>
      <c r="B14" s="39" t="s">
        <v>118</v>
      </c>
      <c r="C14" s="39"/>
      <c r="D14" s="54"/>
      <c r="E14" s="54"/>
      <c r="F14" s="54"/>
      <c r="G14" s="54"/>
      <c r="H14" s="54"/>
    </row>
    <row r="15" spans="1:8" ht="24.75" customHeight="1">
      <c r="A15" s="57" t="s">
        <v>126</v>
      </c>
      <c r="B15" s="66" t="s">
        <v>126</v>
      </c>
      <c r="C15" s="58"/>
      <c r="D15" s="59"/>
      <c r="E15" s="59"/>
      <c r="F15" s="59"/>
      <c r="G15" s="59"/>
      <c r="H15" s="59"/>
    </row>
    <row r="16" spans="2:8" ht="16.5" customHeight="1">
      <c r="B16" s="1016" t="s">
        <v>262</v>
      </c>
      <c r="C16" s="1016"/>
      <c r="D16" s="67"/>
      <c r="E16" s="1018" t="s">
        <v>127</v>
      </c>
      <c r="F16" s="1018"/>
      <c r="G16" s="1018"/>
      <c r="H16" s="1018"/>
    </row>
    <row r="17" spans="2:8" ht="15.75" customHeight="1">
      <c r="B17" s="1016"/>
      <c r="C17" s="1016"/>
      <c r="D17" s="67"/>
      <c r="E17" s="1019" t="s">
        <v>175</v>
      </c>
      <c r="F17" s="1019"/>
      <c r="G17" s="1019"/>
      <c r="H17" s="1019"/>
    </row>
    <row r="18" spans="2:8" s="68" customFormat="1" ht="15.75" customHeight="1">
      <c r="B18" s="1016"/>
      <c r="C18" s="1016"/>
      <c r="D18" s="69"/>
      <c r="E18" s="1020" t="s">
        <v>261</v>
      </c>
      <c r="F18" s="1020"/>
      <c r="G18" s="1020"/>
      <c r="H18" s="1020"/>
    </row>
    <row r="20" ht="15.75">
      <c r="B20" s="60"/>
    </row>
    <row r="22" ht="15.75" hidden="1">
      <c r="A22" s="61" t="s">
        <v>205</v>
      </c>
    </row>
    <row r="23" spans="1:3" ht="15.75" hidden="1">
      <c r="A23" s="62"/>
      <c r="B23" s="1017" t="s">
        <v>217</v>
      </c>
      <c r="C23" s="1017"/>
    </row>
    <row r="24" spans="1:8" ht="15.75" customHeight="1" hidden="1">
      <c r="A24" s="63" t="s">
        <v>133</v>
      </c>
      <c r="B24" s="1011" t="s">
        <v>251</v>
      </c>
      <c r="C24" s="1011"/>
      <c r="D24" s="63"/>
      <c r="E24" s="63"/>
      <c r="F24" s="63"/>
      <c r="G24" s="63"/>
      <c r="H24" s="63"/>
    </row>
    <row r="25" spans="1:8" ht="15" customHeight="1" hidden="1">
      <c r="A25" s="63"/>
      <c r="B25" s="1011" t="s">
        <v>257</v>
      </c>
      <c r="C25" s="1011"/>
      <c r="D25" s="1011"/>
      <c r="E25" s="63"/>
      <c r="F25" s="63"/>
      <c r="G25" s="63"/>
      <c r="H25" s="63"/>
    </row>
    <row r="26" spans="2:3" ht="15.75">
      <c r="B26" s="64"/>
      <c r="C26" s="64"/>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47"/>
  </sheetPr>
  <dimension ref="A1:Q33"/>
  <sheetViews>
    <sheetView zoomScalePageLayoutView="0" workbookViewId="0" topLeftCell="A4">
      <selection activeCell="K24" sqref="K24:P24"/>
    </sheetView>
  </sheetViews>
  <sheetFormatPr defaultColWidth="9.00390625" defaultRowHeight="15.75"/>
  <cols>
    <col min="1" max="1" width="4.00390625" style="113" customWidth="1"/>
    <col min="2" max="2" width="25.375" style="113" customWidth="1"/>
    <col min="3" max="3" width="9.625" style="113" customWidth="1"/>
    <col min="4" max="10" width="7.875" style="113" customWidth="1"/>
    <col min="11" max="11" width="6.875" style="113" customWidth="1"/>
    <col min="12" max="12" width="7.00390625" style="113" customWidth="1"/>
    <col min="13" max="13" width="7.875" style="113" customWidth="1"/>
    <col min="14" max="14" width="10.50390625" style="113" customWidth="1"/>
    <col min="15" max="15" width="7.875" style="113" customWidth="1"/>
    <col min="16" max="16" width="7.25390625" style="113" customWidth="1"/>
    <col min="17" max="17" width="10.125" style="113" bestFit="1" customWidth="1"/>
    <col min="18" max="16384" width="9.00390625" style="113" customWidth="1"/>
  </cols>
  <sheetData>
    <row r="1" spans="1:16" ht="19.5" customHeight="1">
      <c r="A1" s="1053" t="s">
        <v>134</v>
      </c>
      <c r="B1" s="1053"/>
      <c r="C1" s="123"/>
      <c r="D1" s="1061" t="s">
        <v>6</v>
      </c>
      <c r="E1" s="1061"/>
      <c r="F1" s="1061"/>
      <c r="G1" s="1061"/>
      <c r="H1" s="1061"/>
      <c r="I1" s="1061"/>
      <c r="J1" s="1061"/>
      <c r="K1" s="1061"/>
      <c r="L1" s="1061"/>
      <c r="M1" s="1036" t="s">
        <v>379</v>
      </c>
      <c r="N1" s="1036"/>
      <c r="O1" s="1036"/>
      <c r="P1" s="1036"/>
    </row>
    <row r="2" spans="1:16" ht="34.5" customHeight="1">
      <c r="A2" s="1059" t="s">
        <v>369</v>
      </c>
      <c r="B2" s="1059"/>
      <c r="C2" s="1059"/>
      <c r="D2" s="1061"/>
      <c r="E2" s="1061"/>
      <c r="F2" s="1061"/>
      <c r="G2" s="1061"/>
      <c r="H2" s="1061"/>
      <c r="I2" s="1061"/>
      <c r="J2" s="1061"/>
      <c r="K2" s="1061"/>
      <c r="L2" s="1061"/>
      <c r="M2" s="1029" t="s">
        <v>456</v>
      </c>
      <c r="N2" s="1037"/>
      <c r="O2" s="1037"/>
      <c r="P2" s="1037"/>
    </row>
    <row r="3" spans="1:16" ht="17.25" customHeight="1">
      <c r="A3" s="1060" t="s">
        <v>309</v>
      </c>
      <c r="B3" s="1060"/>
      <c r="C3" s="1060"/>
      <c r="D3" s="1061"/>
      <c r="E3" s="1061"/>
      <c r="F3" s="1061"/>
      <c r="G3" s="1061"/>
      <c r="H3" s="1061"/>
      <c r="I3" s="1061"/>
      <c r="J3" s="1061"/>
      <c r="K3" s="1061"/>
      <c r="L3" s="1061"/>
      <c r="M3" s="1029" t="s">
        <v>457</v>
      </c>
      <c r="N3" s="1029"/>
      <c r="O3" s="1029"/>
      <c r="P3" s="1029"/>
    </row>
    <row r="4" spans="1:16" s="125" customFormat="1" ht="16.5" customHeight="1">
      <c r="A4" s="124"/>
      <c r="B4" s="124"/>
      <c r="D4" s="1039" t="s">
        <v>1</v>
      </c>
      <c r="E4" s="1039"/>
      <c r="F4" s="1039"/>
      <c r="G4" s="1039"/>
      <c r="H4" s="1039"/>
      <c r="I4" s="1039"/>
      <c r="J4" s="1039"/>
      <c r="K4" s="1039"/>
      <c r="L4" s="1039"/>
      <c r="M4" s="1038" t="s">
        <v>643</v>
      </c>
      <c r="N4" s="1038"/>
      <c r="O4" s="1038"/>
      <c r="P4" s="1038"/>
    </row>
    <row r="5" spans="1:16" ht="42.75" customHeight="1">
      <c r="A5" s="1044" t="s">
        <v>294</v>
      </c>
      <c r="B5" s="1045"/>
      <c r="C5" s="1054" t="s">
        <v>344</v>
      </c>
      <c r="D5" s="1055"/>
      <c r="E5" s="1055"/>
      <c r="F5" s="1055"/>
      <c r="G5" s="1055"/>
      <c r="H5" s="1055"/>
      <c r="I5" s="1055"/>
      <c r="J5" s="1055"/>
      <c r="K5" s="998" t="s">
        <v>343</v>
      </c>
      <c r="L5" s="998"/>
      <c r="M5" s="998"/>
      <c r="N5" s="998"/>
      <c r="O5" s="998"/>
      <c r="P5" s="998"/>
    </row>
    <row r="6" spans="1:16" ht="18" customHeight="1">
      <c r="A6" s="1046"/>
      <c r="B6" s="1047"/>
      <c r="C6" s="1054" t="s">
        <v>21</v>
      </c>
      <c r="D6" s="1055"/>
      <c r="E6" s="1055"/>
      <c r="F6" s="1056"/>
      <c r="G6" s="998" t="s">
        <v>112</v>
      </c>
      <c r="H6" s="998"/>
      <c r="I6" s="998"/>
      <c r="J6" s="998"/>
      <c r="K6" s="1033" t="s">
        <v>21</v>
      </c>
      <c r="L6" s="1033"/>
      <c r="M6" s="1033"/>
      <c r="N6" s="1030" t="s">
        <v>112</v>
      </c>
      <c r="O6" s="1030"/>
      <c r="P6" s="1030"/>
    </row>
    <row r="7" spans="1:16" ht="52.5" customHeight="1">
      <c r="A7" s="1046"/>
      <c r="B7" s="1047"/>
      <c r="C7" s="1057" t="s">
        <v>338</v>
      </c>
      <c r="D7" s="1055" t="s">
        <v>339</v>
      </c>
      <c r="E7" s="1055"/>
      <c r="F7" s="1056"/>
      <c r="G7" s="998" t="s">
        <v>340</v>
      </c>
      <c r="H7" s="998" t="s">
        <v>339</v>
      </c>
      <c r="I7" s="998"/>
      <c r="J7" s="998"/>
      <c r="K7" s="998" t="s">
        <v>166</v>
      </c>
      <c r="L7" s="998" t="s">
        <v>341</v>
      </c>
      <c r="M7" s="998"/>
      <c r="N7" s="998" t="s">
        <v>308</v>
      </c>
      <c r="O7" s="998" t="s">
        <v>341</v>
      </c>
      <c r="P7" s="998"/>
    </row>
    <row r="8" spans="1:16" ht="15.75" customHeight="1">
      <c r="A8" s="1046"/>
      <c r="B8" s="1047"/>
      <c r="C8" s="1057"/>
      <c r="D8" s="998" t="s">
        <v>173</v>
      </c>
      <c r="E8" s="998" t="s">
        <v>174</v>
      </c>
      <c r="F8" s="998" t="s">
        <v>190</v>
      </c>
      <c r="G8" s="998"/>
      <c r="H8" s="998" t="s">
        <v>173</v>
      </c>
      <c r="I8" s="998" t="s">
        <v>174</v>
      </c>
      <c r="J8" s="998" t="s">
        <v>190</v>
      </c>
      <c r="K8" s="998"/>
      <c r="L8" s="998" t="s">
        <v>122</v>
      </c>
      <c r="M8" s="998" t="s">
        <v>121</v>
      </c>
      <c r="N8" s="998"/>
      <c r="O8" s="998" t="s">
        <v>122</v>
      </c>
      <c r="P8" s="998" t="s">
        <v>121</v>
      </c>
    </row>
    <row r="9" spans="1:16" ht="21" customHeight="1">
      <c r="A9" s="1048"/>
      <c r="B9" s="1049"/>
      <c r="C9" s="1058"/>
      <c r="D9" s="998"/>
      <c r="E9" s="998"/>
      <c r="F9" s="998"/>
      <c r="G9" s="998"/>
      <c r="H9" s="998"/>
      <c r="I9" s="998"/>
      <c r="J9" s="998"/>
      <c r="K9" s="998"/>
      <c r="L9" s="998"/>
      <c r="M9" s="998"/>
      <c r="N9" s="998"/>
      <c r="O9" s="998"/>
      <c r="P9" s="998"/>
    </row>
    <row r="10" spans="1:16" ht="12.75" customHeight="1">
      <c r="A10" s="1040" t="s">
        <v>105</v>
      </c>
      <c r="B10" s="1041"/>
      <c r="C10" s="377">
        <v>1</v>
      </c>
      <c r="D10" s="377" t="s">
        <v>213</v>
      </c>
      <c r="E10" s="377" t="s">
        <v>214</v>
      </c>
      <c r="F10" s="377" t="s">
        <v>296</v>
      </c>
      <c r="G10" s="377" t="s">
        <v>297</v>
      </c>
      <c r="H10" s="377" t="s">
        <v>298</v>
      </c>
      <c r="I10" s="377" t="s">
        <v>299</v>
      </c>
      <c r="J10" s="377" t="s">
        <v>300</v>
      </c>
      <c r="K10" s="377" t="s">
        <v>301</v>
      </c>
      <c r="L10" s="377" t="s">
        <v>345</v>
      </c>
      <c r="M10" s="377" t="s">
        <v>346</v>
      </c>
      <c r="N10" s="377" t="s">
        <v>347</v>
      </c>
      <c r="O10" s="377" t="s">
        <v>348</v>
      </c>
      <c r="P10" s="377" t="s">
        <v>349</v>
      </c>
    </row>
    <row r="11" spans="1:17" ht="17.25" customHeight="1">
      <c r="A11" s="1042" t="s">
        <v>170</v>
      </c>
      <c r="B11" s="1043"/>
      <c r="C11" s="564">
        <f>C12+C13</f>
        <v>0</v>
      </c>
      <c r="D11" s="564">
        <f aca="true" t="shared" si="0" ref="D11:P11">D12+D13</f>
        <v>0</v>
      </c>
      <c r="E11" s="564">
        <f t="shared" si="0"/>
        <v>0</v>
      </c>
      <c r="F11" s="564">
        <f t="shared" si="0"/>
        <v>0</v>
      </c>
      <c r="G11" s="564">
        <f t="shared" si="0"/>
        <v>0</v>
      </c>
      <c r="H11" s="564">
        <f t="shared" si="0"/>
        <v>0</v>
      </c>
      <c r="I11" s="564">
        <f t="shared" si="0"/>
        <v>0</v>
      </c>
      <c r="J11" s="564">
        <f t="shared" si="0"/>
        <v>0</v>
      </c>
      <c r="K11" s="564">
        <f t="shared" si="0"/>
        <v>0</v>
      </c>
      <c r="L11" s="564">
        <f t="shared" si="0"/>
        <v>0</v>
      </c>
      <c r="M11" s="564">
        <f t="shared" si="0"/>
        <v>0</v>
      </c>
      <c r="N11" s="564">
        <f t="shared" si="0"/>
        <v>0</v>
      </c>
      <c r="O11" s="564">
        <f t="shared" si="0"/>
        <v>0</v>
      </c>
      <c r="P11" s="564">
        <f t="shared" si="0"/>
        <v>0</v>
      </c>
      <c r="Q11" s="433"/>
    </row>
    <row r="12" spans="1:16" ht="19.5" customHeight="1">
      <c r="A12" s="126" t="s">
        <v>14</v>
      </c>
      <c r="B12" s="225" t="s">
        <v>342</v>
      </c>
      <c r="C12" s="540">
        <f>D12+E12+F12</f>
        <v>0</v>
      </c>
      <c r="D12" s="360">
        <v>0</v>
      </c>
      <c r="E12" s="360">
        <v>0</v>
      </c>
      <c r="F12" s="360">
        <v>0</v>
      </c>
      <c r="G12" s="564">
        <f>H12+I12+J12</f>
        <v>0</v>
      </c>
      <c r="H12" s="360">
        <v>0</v>
      </c>
      <c r="I12" s="360">
        <v>0</v>
      </c>
      <c r="J12" s="360">
        <v>0</v>
      </c>
      <c r="K12" s="564">
        <f>L12+M12+N12</f>
        <v>0</v>
      </c>
      <c r="L12" s="360">
        <v>0</v>
      </c>
      <c r="M12" s="360">
        <v>0</v>
      </c>
      <c r="N12" s="716">
        <f>O12+P12</f>
        <v>0</v>
      </c>
      <c r="O12" s="361">
        <v>0</v>
      </c>
      <c r="P12" s="361">
        <v>0</v>
      </c>
    </row>
    <row r="13" spans="1:17" ht="19.5" customHeight="1">
      <c r="A13" s="127" t="s">
        <v>15</v>
      </c>
      <c r="B13" s="226" t="s">
        <v>125</v>
      </c>
      <c r="C13" s="540">
        <f>SUM(C14:C23)</f>
        <v>0</v>
      </c>
      <c r="D13" s="540">
        <f aca="true" t="shared" si="1" ref="D13:P13">SUM(D14:D23)</f>
        <v>0</v>
      </c>
      <c r="E13" s="540">
        <f t="shared" si="1"/>
        <v>0</v>
      </c>
      <c r="F13" s="540">
        <f t="shared" si="1"/>
        <v>0</v>
      </c>
      <c r="G13" s="540">
        <f t="shared" si="1"/>
        <v>0</v>
      </c>
      <c r="H13" s="540">
        <f t="shared" si="1"/>
        <v>0</v>
      </c>
      <c r="I13" s="540">
        <f t="shared" si="1"/>
        <v>0</v>
      </c>
      <c r="J13" s="540">
        <f t="shared" si="1"/>
        <v>0</v>
      </c>
      <c r="K13" s="540">
        <f t="shared" si="1"/>
        <v>0</v>
      </c>
      <c r="L13" s="540">
        <f t="shared" si="1"/>
        <v>0</v>
      </c>
      <c r="M13" s="540">
        <f t="shared" si="1"/>
        <v>0</v>
      </c>
      <c r="N13" s="540">
        <f t="shared" si="1"/>
        <v>0</v>
      </c>
      <c r="O13" s="540">
        <f t="shared" si="1"/>
        <v>0</v>
      </c>
      <c r="P13" s="540">
        <f t="shared" si="1"/>
        <v>0</v>
      </c>
      <c r="Q13" s="434"/>
    </row>
    <row r="14" spans="1:16" ht="19.5" customHeight="1">
      <c r="A14" s="127">
        <v>1</v>
      </c>
      <c r="B14" s="425" t="s">
        <v>446</v>
      </c>
      <c r="C14" s="540">
        <f>D14+E14+F14</f>
        <v>0</v>
      </c>
      <c r="D14" s="360">
        <v>0</v>
      </c>
      <c r="E14" s="360">
        <v>0</v>
      </c>
      <c r="F14" s="360">
        <v>0</v>
      </c>
      <c r="G14" s="564">
        <f>H14+I14+J14</f>
        <v>0</v>
      </c>
      <c r="H14" s="360">
        <v>0</v>
      </c>
      <c r="I14" s="360">
        <v>0</v>
      </c>
      <c r="J14" s="360">
        <v>0</v>
      </c>
      <c r="K14" s="564">
        <f aca="true" t="shared" si="2" ref="K14:K23">L14+M14</f>
        <v>0</v>
      </c>
      <c r="L14" s="360">
        <v>0</v>
      </c>
      <c r="M14" s="360"/>
      <c r="N14" s="564">
        <f>O14+P14</f>
        <v>0</v>
      </c>
      <c r="O14" s="361">
        <v>0</v>
      </c>
      <c r="P14" s="361"/>
    </row>
    <row r="15" spans="1:16" ht="19.5" customHeight="1">
      <c r="A15" s="127">
        <v>2</v>
      </c>
      <c r="B15" s="425" t="s">
        <v>447</v>
      </c>
      <c r="C15" s="540">
        <f aca="true" t="shared" si="3" ref="C15:C23">D15+E15+F15</f>
        <v>0</v>
      </c>
      <c r="D15" s="360">
        <v>0</v>
      </c>
      <c r="E15" s="360">
        <v>0</v>
      </c>
      <c r="F15" s="360">
        <v>0</v>
      </c>
      <c r="G15" s="564">
        <f aca="true" t="shared" si="4" ref="G15:G23">H15+I15+J15</f>
        <v>0</v>
      </c>
      <c r="H15" s="360">
        <v>0</v>
      </c>
      <c r="I15" s="360">
        <v>0</v>
      </c>
      <c r="J15" s="360">
        <v>0</v>
      </c>
      <c r="K15" s="564">
        <f t="shared" si="2"/>
        <v>0</v>
      </c>
      <c r="L15" s="360">
        <v>0</v>
      </c>
      <c r="M15" s="360">
        <v>0</v>
      </c>
      <c r="N15" s="564">
        <f aca="true" t="shared" si="5" ref="N15:N23">O15+P15</f>
        <v>0</v>
      </c>
      <c r="O15" s="361">
        <v>0</v>
      </c>
      <c r="P15" s="361">
        <v>0</v>
      </c>
    </row>
    <row r="16" spans="1:16" ht="19.5" customHeight="1">
      <c r="A16" s="127">
        <v>3</v>
      </c>
      <c r="B16" s="425" t="s">
        <v>448</v>
      </c>
      <c r="C16" s="540">
        <f t="shared" si="3"/>
        <v>0</v>
      </c>
      <c r="D16" s="360">
        <v>0</v>
      </c>
      <c r="E16" s="360">
        <v>0</v>
      </c>
      <c r="F16" s="360">
        <v>0</v>
      </c>
      <c r="G16" s="564">
        <f t="shared" si="4"/>
        <v>0</v>
      </c>
      <c r="H16" s="360">
        <v>0</v>
      </c>
      <c r="I16" s="360">
        <v>0</v>
      </c>
      <c r="J16" s="360">
        <v>0</v>
      </c>
      <c r="K16" s="564">
        <f t="shared" si="2"/>
        <v>0</v>
      </c>
      <c r="L16" s="360">
        <v>0</v>
      </c>
      <c r="M16" s="360">
        <v>0</v>
      </c>
      <c r="N16" s="564">
        <f t="shared" si="5"/>
        <v>0</v>
      </c>
      <c r="O16" s="361">
        <v>0</v>
      </c>
      <c r="P16" s="361">
        <v>0</v>
      </c>
    </row>
    <row r="17" spans="1:16" ht="19.5" customHeight="1">
      <c r="A17" s="127">
        <v>4</v>
      </c>
      <c r="B17" s="425" t="s">
        <v>449</v>
      </c>
      <c r="C17" s="540">
        <f t="shared" si="3"/>
        <v>0</v>
      </c>
      <c r="D17" s="360">
        <v>0</v>
      </c>
      <c r="E17" s="360">
        <v>0</v>
      </c>
      <c r="F17" s="360">
        <v>0</v>
      </c>
      <c r="G17" s="564">
        <f t="shared" si="4"/>
        <v>0</v>
      </c>
      <c r="H17" s="360">
        <v>0</v>
      </c>
      <c r="I17" s="360">
        <v>0</v>
      </c>
      <c r="J17" s="360">
        <v>0</v>
      </c>
      <c r="K17" s="564">
        <f t="shared" si="2"/>
        <v>0</v>
      </c>
      <c r="L17" s="360">
        <v>0</v>
      </c>
      <c r="M17" s="360">
        <v>0</v>
      </c>
      <c r="N17" s="564">
        <f t="shared" si="5"/>
        <v>0</v>
      </c>
      <c r="O17" s="361">
        <v>0</v>
      </c>
      <c r="P17" s="361">
        <v>0</v>
      </c>
    </row>
    <row r="18" spans="1:16" ht="19.5" customHeight="1">
      <c r="A18" s="127">
        <v>5</v>
      </c>
      <c r="B18" s="425" t="s">
        <v>450</v>
      </c>
      <c r="C18" s="540">
        <f t="shared" si="3"/>
        <v>0</v>
      </c>
      <c r="D18" s="360">
        <v>0</v>
      </c>
      <c r="E18" s="360">
        <v>0</v>
      </c>
      <c r="F18" s="360">
        <v>0</v>
      </c>
      <c r="G18" s="564">
        <f t="shared" si="4"/>
        <v>0</v>
      </c>
      <c r="H18" s="360">
        <v>0</v>
      </c>
      <c r="I18" s="360">
        <v>0</v>
      </c>
      <c r="J18" s="360">
        <v>0</v>
      </c>
      <c r="K18" s="564">
        <f t="shared" si="2"/>
        <v>0</v>
      </c>
      <c r="L18" s="360">
        <v>0</v>
      </c>
      <c r="M18" s="360">
        <v>0</v>
      </c>
      <c r="N18" s="564">
        <f t="shared" si="5"/>
        <v>0</v>
      </c>
      <c r="O18" s="361">
        <v>0</v>
      </c>
      <c r="P18" s="361">
        <v>0</v>
      </c>
    </row>
    <row r="19" spans="1:16" ht="19.5" customHeight="1">
      <c r="A19" s="127">
        <v>6</v>
      </c>
      <c r="B19" s="425" t="s">
        <v>451</v>
      </c>
      <c r="C19" s="540">
        <f t="shared" si="3"/>
        <v>0</v>
      </c>
      <c r="D19" s="360">
        <v>0</v>
      </c>
      <c r="E19" s="360">
        <v>0</v>
      </c>
      <c r="F19" s="360">
        <v>0</v>
      </c>
      <c r="G19" s="564">
        <f t="shared" si="4"/>
        <v>0</v>
      </c>
      <c r="H19" s="360">
        <v>0</v>
      </c>
      <c r="I19" s="360">
        <v>0</v>
      </c>
      <c r="J19" s="360">
        <v>0</v>
      </c>
      <c r="K19" s="564">
        <f t="shared" si="2"/>
        <v>0</v>
      </c>
      <c r="L19" s="360">
        <v>0</v>
      </c>
      <c r="M19" s="360">
        <v>0</v>
      </c>
      <c r="N19" s="564">
        <f t="shared" si="5"/>
        <v>0</v>
      </c>
      <c r="O19" s="361">
        <v>0</v>
      </c>
      <c r="P19" s="361">
        <v>0</v>
      </c>
    </row>
    <row r="20" spans="1:16" ht="19.5" customHeight="1">
      <c r="A20" s="127">
        <v>7</v>
      </c>
      <c r="B20" s="425" t="s">
        <v>452</v>
      </c>
      <c r="C20" s="540">
        <f t="shared" si="3"/>
        <v>0</v>
      </c>
      <c r="D20" s="360">
        <v>0</v>
      </c>
      <c r="E20" s="360">
        <v>0</v>
      </c>
      <c r="F20" s="360">
        <v>0</v>
      </c>
      <c r="G20" s="564">
        <f t="shared" si="4"/>
        <v>0</v>
      </c>
      <c r="H20" s="360">
        <v>0</v>
      </c>
      <c r="I20" s="360">
        <v>0</v>
      </c>
      <c r="J20" s="360">
        <v>0</v>
      </c>
      <c r="K20" s="564">
        <f t="shared" si="2"/>
        <v>0</v>
      </c>
      <c r="L20" s="360">
        <v>0</v>
      </c>
      <c r="M20" s="360">
        <v>0</v>
      </c>
      <c r="N20" s="564">
        <f t="shared" si="5"/>
        <v>0</v>
      </c>
      <c r="O20" s="361">
        <v>0</v>
      </c>
      <c r="P20" s="361">
        <v>0</v>
      </c>
    </row>
    <row r="21" spans="1:16" ht="19.5" customHeight="1">
      <c r="A21" s="127">
        <v>8</v>
      </c>
      <c r="B21" s="425" t="s">
        <v>453</v>
      </c>
      <c r="C21" s="540">
        <f t="shared" si="3"/>
        <v>0</v>
      </c>
      <c r="D21" s="360">
        <v>0</v>
      </c>
      <c r="E21" s="360">
        <v>0</v>
      </c>
      <c r="F21" s="360">
        <v>0</v>
      </c>
      <c r="G21" s="564">
        <f t="shared" si="4"/>
        <v>0</v>
      </c>
      <c r="H21" s="360">
        <v>0</v>
      </c>
      <c r="I21" s="360">
        <v>0</v>
      </c>
      <c r="J21" s="360">
        <v>0</v>
      </c>
      <c r="K21" s="564">
        <f t="shared" si="2"/>
        <v>0</v>
      </c>
      <c r="L21" s="360">
        <v>0</v>
      </c>
      <c r="M21" s="360">
        <v>0</v>
      </c>
      <c r="N21" s="564">
        <f t="shared" si="5"/>
        <v>0</v>
      </c>
      <c r="O21" s="361">
        <v>0</v>
      </c>
      <c r="P21" s="361">
        <v>0</v>
      </c>
    </row>
    <row r="22" spans="1:16" ht="19.5" customHeight="1">
      <c r="A22" s="127">
        <v>9</v>
      </c>
      <c r="B22" s="425" t="s">
        <v>454</v>
      </c>
      <c r="C22" s="540">
        <f t="shared" si="3"/>
        <v>0</v>
      </c>
      <c r="D22" s="360">
        <v>0</v>
      </c>
      <c r="E22" s="360">
        <v>0</v>
      </c>
      <c r="F22" s="360">
        <v>0</v>
      </c>
      <c r="G22" s="564">
        <f t="shared" si="4"/>
        <v>0</v>
      </c>
      <c r="H22" s="360">
        <v>0</v>
      </c>
      <c r="I22" s="360">
        <v>0</v>
      </c>
      <c r="J22" s="360">
        <v>0</v>
      </c>
      <c r="K22" s="564">
        <f t="shared" si="2"/>
        <v>0</v>
      </c>
      <c r="L22" s="360">
        <v>0</v>
      </c>
      <c r="M22" s="360">
        <v>0</v>
      </c>
      <c r="N22" s="564">
        <f t="shared" si="5"/>
        <v>0</v>
      </c>
      <c r="O22" s="361">
        <v>0</v>
      </c>
      <c r="P22" s="361">
        <v>0</v>
      </c>
    </row>
    <row r="23" spans="1:16" ht="19.5" customHeight="1" thickBot="1">
      <c r="A23" s="227">
        <v>10</v>
      </c>
      <c r="B23" s="684" t="s">
        <v>455</v>
      </c>
      <c r="C23" s="714">
        <f t="shared" si="3"/>
        <v>0</v>
      </c>
      <c r="D23" s="717">
        <v>0</v>
      </c>
      <c r="E23" s="717">
        <v>0</v>
      </c>
      <c r="F23" s="717">
        <v>0</v>
      </c>
      <c r="G23" s="718">
        <f t="shared" si="4"/>
        <v>0</v>
      </c>
      <c r="H23" s="717">
        <v>0</v>
      </c>
      <c r="I23" s="717">
        <v>0</v>
      </c>
      <c r="J23" s="717">
        <v>0</v>
      </c>
      <c r="K23" s="718">
        <f t="shared" si="2"/>
        <v>0</v>
      </c>
      <c r="L23" s="717">
        <v>0</v>
      </c>
      <c r="M23" s="717">
        <v>0</v>
      </c>
      <c r="N23" s="564">
        <f t="shared" si="5"/>
        <v>0</v>
      </c>
      <c r="O23" s="719">
        <v>0</v>
      </c>
      <c r="P23" s="719">
        <v>0</v>
      </c>
    </row>
    <row r="24" spans="2:16" ht="18" customHeight="1" thickTop="1">
      <c r="B24" s="1050" t="s">
        <v>241</v>
      </c>
      <c r="C24" s="1051"/>
      <c r="D24" s="1051"/>
      <c r="E24" s="1051"/>
      <c r="F24" s="129"/>
      <c r="G24" s="129"/>
      <c r="H24" s="129"/>
      <c r="I24" s="129"/>
      <c r="J24" s="129"/>
      <c r="K24" s="1034" t="s">
        <v>384</v>
      </c>
      <c r="L24" s="1034"/>
      <c r="M24" s="1034"/>
      <c r="N24" s="1034"/>
      <c r="O24" s="1034"/>
      <c r="P24" s="1034"/>
    </row>
    <row r="25" spans="2:16" ht="15" customHeight="1">
      <c r="B25" s="1052"/>
      <c r="C25" s="1052"/>
      <c r="D25" s="1052"/>
      <c r="E25" s="1052"/>
      <c r="F25" s="129"/>
      <c r="G25" s="129"/>
      <c r="H25" s="129"/>
      <c r="I25" s="129"/>
      <c r="J25" s="129"/>
      <c r="K25" s="1035" t="s">
        <v>660</v>
      </c>
      <c r="L25" s="1035"/>
      <c r="M25" s="1035"/>
      <c r="N25" s="1035"/>
      <c r="O25" s="1035"/>
      <c r="P25" s="1035"/>
    </row>
    <row r="26" spans="2:16" ht="16.5">
      <c r="B26" s="1052"/>
      <c r="C26" s="1052"/>
      <c r="D26" s="1052"/>
      <c r="E26" s="1052"/>
      <c r="F26" s="129"/>
      <c r="G26" s="129"/>
      <c r="H26" s="129"/>
      <c r="I26" s="129"/>
      <c r="J26" s="129"/>
      <c r="K26" s="1035" t="s">
        <v>656</v>
      </c>
      <c r="L26" s="1035"/>
      <c r="M26" s="1035"/>
      <c r="N26" s="1035"/>
      <c r="O26" s="1035"/>
      <c r="P26" s="1035"/>
    </row>
    <row r="28" ht="15.75" customHeight="1" hidden="1">
      <c r="A28" s="130" t="s">
        <v>205</v>
      </c>
    </row>
    <row r="29" spans="1:6" ht="15.75" customHeight="1" hidden="1">
      <c r="A29" s="131"/>
      <c r="B29" s="1032" t="s">
        <v>217</v>
      </c>
      <c r="C29" s="1032"/>
      <c r="D29" s="1032"/>
      <c r="E29" s="1032"/>
      <c r="F29" s="1032"/>
    </row>
    <row r="30" spans="1:14" ht="15.75" customHeight="1" hidden="1">
      <c r="A30" s="132" t="s">
        <v>133</v>
      </c>
      <c r="B30" s="1031" t="s">
        <v>251</v>
      </c>
      <c r="C30" s="1031"/>
      <c r="D30" s="1031"/>
      <c r="E30" s="1031"/>
      <c r="F30" s="132"/>
      <c r="G30" s="132"/>
      <c r="H30" s="132"/>
      <c r="I30" s="132"/>
      <c r="J30" s="132"/>
      <c r="K30" s="132"/>
      <c r="L30" s="132"/>
      <c r="M30" s="132"/>
      <c r="N30" s="132"/>
    </row>
    <row r="31" spans="1:14" ht="15" customHeight="1" hidden="1">
      <c r="A31" s="132"/>
      <c r="B31" s="1031" t="s">
        <v>257</v>
      </c>
      <c r="C31" s="1031"/>
      <c r="D31" s="1031"/>
      <c r="E31" s="1031"/>
      <c r="F31" s="1031"/>
      <c r="G31" s="1031"/>
      <c r="H31" s="133"/>
      <c r="I31" s="133"/>
      <c r="J31" s="133"/>
      <c r="K31" s="132"/>
      <c r="L31" s="132"/>
      <c r="M31" s="132"/>
      <c r="N31" s="132"/>
    </row>
    <row r="32" spans="2:5" ht="15.75">
      <c r="B32" s="134"/>
      <c r="C32" s="134"/>
      <c r="D32" s="134"/>
      <c r="E32" s="134"/>
    </row>
    <row r="33" spans="2:16" ht="16.5">
      <c r="B33" s="1028" t="s">
        <v>390</v>
      </c>
      <c r="C33" s="1028"/>
      <c r="D33" s="1028"/>
      <c r="E33" s="1028"/>
      <c r="F33" s="151"/>
      <c r="G33" s="151"/>
      <c r="H33" s="151"/>
      <c r="I33" s="151"/>
      <c r="J33" s="151"/>
      <c r="K33" s="1028" t="s">
        <v>2</v>
      </c>
      <c r="L33" s="1028"/>
      <c r="M33" s="1028"/>
      <c r="N33" s="1028"/>
      <c r="O33" s="1028"/>
      <c r="P33" s="1028"/>
    </row>
  </sheetData>
  <sheetProtection/>
  <mergeCells count="45">
    <mergeCell ref="A1:B1"/>
    <mergeCell ref="E8:E9"/>
    <mergeCell ref="C6:F6"/>
    <mergeCell ref="F8:F9"/>
    <mergeCell ref="C7:C9"/>
    <mergeCell ref="D7:F7"/>
    <mergeCell ref="A2:C2"/>
    <mergeCell ref="A3:C3"/>
    <mergeCell ref="C5:J5"/>
    <mergeCell ref="D1:L3"/>
    <mergeCell ref="B30:E30"/>
    <mergeCell ref="A11:B11"/>
    <mergeCell ref="A5:B9"/>
    <mergeCell ref="G7:G9"/>
    <mergeCell ref="D8:D9"/>
    <mergeCell ref="B24:E26"/>
    <mergeCell ref="M8:M9"/>
    <mergeCell ref="P8:P9"/>
    <mergeCell ref="A10:B10"/>
    <mergeCell ref="I8:I9"/>
    <mergeCell ref="J8:J9"/>
    <mergeCell ref="N7:N9"/>
    <mergeCell ref="L7:M7"/>
    <mergeCell ref="K7:K9"/>
    <mergeCell ref="O8:O9"/>
    <mergeCell ref="L8:L9"/>
    <mergeCell ref="M1:P1"/>
    <mergeCell ref="K5:P5"/>
    <mergeCell ref="M2:P2"/>
    <mergeCell ref="M4:P4"/>
    <mergeCell ref="D4:L4"/>
    <mergeCell ref="K33:P33"/>
    <mergeCell ref="K24:P24"/>
    <mergeCell ref="K25:P25"/>
    <mergeCell ref="K26:P26"/>
    <mergeCell ref="B33:E33"/>
    <mergeCell ref="M3:P3"/>
    <mergeCell ref="H8:H9"/>
    <mergeCell ref="N6:P6"/>
    <mergeCell ref="O7:P7"/>
    <mergeCell ref="G6:J6"/>
    <mergeCell ref="H7:J7"/>
    <mergeCell ref="B31:G31"/>
    <mergeCell ref="B29:F29"/>
    <mergeCell ref="K6:M6"/>
  </mergeCells>
  <printOptions/>
  <pageMargins left="0.25" right="0" top="0.25" bottom="0" header="0.31" footer="0.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indexed="57"/>
  </sheetPr>
  <dimension ref="A1:P36"/>
  <sheetViews>
    <sheetView zoomScalePageLayoutView="0" workbookViewId="0" topLeftCell="A8">
      <selection activeCell="J25" sqref="J25:N25"/>
    </sheetView>
  </sheetViews>
  <sheetFormatPr defaultColWidth="9.00390625" defaultRowHeight="15.75"/>
  <cols>
    <col min="1" max="1" width="3.75390625" style="76" customWidth="1"/>
    <col min="2" max="2" width="27.75390625" style="76" customWidth="1"/>
    <col min="3" max="3" width="7.50390625" style="113" customWidth="1"/>
    <col min="4" max="4" width="12.375" style="113" customWidth="1"/>
    <col min="5" max="5" width="6.25390625" style="113" customWidth="1"/>
    <col min="6" max="6" width="12.625" style="113" customWidth="1"/>
    <col min="7" max="7" width="6.75390625" style="76" customWidth="1"/>
    <col min="8" max="8" width="12.375" style="76" customWidth="1"/>
    <col min="9" max="9" width="6.25390625" style="76" customWidth="1"/>
    <col min="10" max="10" width="11.25390625" style="76" customWidth="1"/>
    <col min="11" max="11" width="6.25390625" style="76" customWidth="1"/>
    <col min="12" max="12" width="12.125" style="76" customWidth="1"/>
    <col min="13" max="13" width="6.00390625" style="76" customWidth="1"/>
    <col min="14" max="14" width="10.125" style="76" customWidth="1"/>
    <col min="15" max="16384" width="9.00390625" style="76" customWidth="1"/>
  </cols>
  <sheetData>
    <row r="1" spans="1:14" ht="18" customHeight="1">
      <c r="A1" s="996" t="s">
        <v>142</v>
      </c>
      <c r="B1" s="996"/>
      <c r="C1" s="996"/>
      <c r="D1" s="996"/>
      <c r="E1" s="1082" t="s">
        <v>351</v>
      </c>
      <c r="F1" s="1082"/>
      <c r="G1" s="1082"/>
      <c r="H1" s="1082"/>
      <c r="I1" s="1082"/>
      <c r="J1" s="1082"/>
      <c r="K1" s="1082"/>
      <c r="L1" s="1078" t="s">
        <v>379</v>
      </c>
      <c r="M1" s="1078"/>
      <c r="N1" s="1078"/>
    </row>
    <row r="2" spans="1:15" ht="18" customHeight="1">
      <c r="A2" s="996" t="s">
        <v>367</v>
      </c>
      <c r="B2" s="996"/>
      <c r="C2" s="996"/>
      <c r="D2" s="996"/>
      <c r="E2" s="1082"/>
      <c r="F2" s="1082"/>
      <c r="G2" s="1082"/>
      <c r="H2" s="1082"/>
      <c r="I2" s="1082"/>
      <c r="J2" s="1082"/>
      <c r="K2" s="1082"/>
      <c r="L2" s="1079" t="s">
        <v>388</v>
      </c>
      <c r="M2" s="1079"/>
      <c r="N2" s="1079"/>
      <c r="O2" s="135"/>
    </row>
    <row r="3" spans="1:14" ht="18" customHeight="1">
      <c r="A3" s="1081" t="s">
        <v>368</v>
      </c>
      <c r="B3" s="1081"/>
      <c r="C3" s="1081"/>
      <c r="D3" s="1081"/>
      <c r="E3" s="987" t="s">
        <v>0</v>
      </c>
      <c r="F3" s="987"/>
      <c r="G3" s="987"/>
      <c r="H3" s="987"/>
      <c r="I3" s="987"/>
      <c r="J3" s="987"/>
      <c r="K3" s="136"/>
      <c r="L3" s="1080" t="s">
        <v>378</v>
      </c>
      <c r="M3" s="1080"/>
      <c r="N3" s="1080"/>
    </row>
    <row r="4" spans="1:15" ht="18" customHeight="1">
      <c r="A4" s="1081" t="s">
        <v>19</v>
      </c>
      <c r="B4" s="1081"/>
      <c r="C4" s="1081"/>
      <c r="D4" s="1081"/>
      <c r="E4" s="1083" t="s">
        <v>1</v>
      </c>
      <c r="F4" s="1083"/>
      <c r="G4" s="1083"/>
      <c r="H4" s="1083"/>
      <c r="I4" s="1083"/>
      <c r="J4" s="1083"/>
      <c r="K4" s="1083"/>
      <c r="L4" s="1079" t="s">
        <v>392</v>
      </c>
      <c r="M4" s="1079"/>
      <c r="N4" s="1079"/>
      <c r="O4" s="135"/>
    </row>
    <row r="5" spans="1:14" ht="13.5" customHeight="1">
      <c r="A5" s="137"/>
      <c r="D5" s="138"/>
      <c r="E5" s="138"/>
      <c r="F5" s="138"/>
      <c r="G5" s="139"/>
      <c r="H5" s="139"/>
      <c r="I5" s="139"/>
      <c r="J5" s="140"/>
      <c r="L5" s="141" t="s">
        <v>323</v>
      </c>
      <c r="M5" s="140"/>
      <c r="N5" s="140"/>
    </row>
    <row r="6" spans="1:14" ht="18" customHeight="1">
      <c r="A6" s="1064" t="s">
        <v>294</v>
      </c>
      <c r="B6" s="1065"/>
      <c r="C6" s="981" t="s">
        <v>350</v>
      </c>
      <c r="D6" s="981"/>
      <c r="E6" s="981"/>
      <c r="F6" s="981"/>
      <c r="G6" s="1071" t="s">
        <v>106</v>
      </c>
      <c r="H6" s="1072"/>
      <c r="I6" s="1072"/>
      <c r="J6" s="1072"/>
      <c r="K6" s="1072"/>
      <c r="L6" s="1072"/>
      <c r="M6" s="1072"/>
      <c r="N6" s="1073"/>
    </row>
    <row r="7" spans="1:14" ht="45" customHeight="1">
      <c r="A7" s="1066"/>
      <c r="B7" s="1067"/>
      <c r="C7" s="981"/>
      <c r="D7" s="981"/>
      <c r="E7" s="981"/>
      <c r="F7" s="981"/>
      <c r="G7" s="1071" t="s">
        <v>356</v>
      </c>
      <c r="H7" s="1072"/>
      <c r="I7" s="1072"/>
      <c r="J7" s="1073"/>
      <c r="K7" s="1071" t="s">
        <v>357</v>
      </c>
      <c r="L7" s="1072"/>
      <c r="M7" s="1072"/>
      <c r="N7" s="1073"/>
    </row>
    <row r="8" spans="1:14" ht="36" customHeight="1">
      <c r="A8" s="1066"/>
      <c r="B8" s="1067"/>
      <c r="C8" s="1062" t="s">
        <v>353</v>
      </c>
      <c r="D8" s="1070"/>
      <c r="E8" s="1062" t="s">
        <v>352</v>
      </c>
      <c r="F8" s="1070"/>
      <c r="G8" s="1062" t="s">
        <v>354</v>
      </c>
      <c r="H8" s="1063"/>
      <c r="I8" s="1062" t="s">
        <v>355</v>
      </c>
      <c r="J8" s="1063"/>
      <c r="K8" s="1062" t="s">
        <v>358</v>
      </c>
      <c r="L8" s="1063"/>
      <c r="M8" s="1062" t="s">
        <v>359</v>
      </c>
      <c r="N8" s="1063"/>
    </row>
    <row r="9" spans="1:14" ht="21" customHeight="1">
      <c r="A9" s="1066"/>
      <c r="B9" s="1067"/>
      <c r="C9" s="142" t="s">
        <v>21</v>
      </c>
      <c r="D9" s="112" t="s">
        <v>112</v>
      </c>
      <c r="E9" s="112" t="s">
        <v>21</v>
      </c>
      <c r="F9" s="112" t="s">
        <v>112</v>
      </c>
      <c r="G9" s="70" t="s">
        <v>21</v>
      </c>
      <c r="H9" s="70" t="s">
        <v>112</v>
      </c>
      <c r="I9" s="70" t="s">
        <v>21</v>
      </c>
      <c r="J9" s="70" t="s">
        <v>112</v>
      </c>
      <c r="K9" s="70" t="s">
        <v>21</v>
      </c>
      <c r="L9" s="70" t="s">
        <v>112</v>
      </c>
      <c r="M9" s="70" t="s">
        <v>21</v>
      </c>
      <c r="N9" s="70" t="s">
        <v>112</v>
      </c>
    </row>
    <row r="10" spans="1:14" ht="15" customHeight="1">
      <c r="A10" s="1069" t="s">
        <v>105</v>
      </c>
      <c r="B10" s="1069"/>
      <c r="C10" s="378">
        <v>1</v>
      </c>
      <c r="D10" s="378">
        <v>2</v>
      </c>
      <c r="E10" s="378">
        <v>3</v>
      </c>
      <c r="F10" s="378">
        <v>4</v>
      </c>
      <c r="G10" s="378">
        <v>5</v>
      </c>
      <c r="H10" s="378">
        <v>6</v>
      </c>
      <c r="I10" s="378">
        <v>7</v>
      </c>
      <c r="J10" s="378">
        <v>8</v>
      </c>
      <c r="K10" s="378">
        <v>9</v>
      </c>
      <c r="L10" s="378">
        <v>10</v>
      </c>
      <c r="M10" s="378">
        <v>11</v>
      </c>
      <c r="N10" s="378">
        <v>12</v>
      </c>
    </row>
    <row r="11" spans="1:14" ht="18" customHeight="1">
      <c r="A11" s="1074" t="s">
        <v>165</v>
      </c>
      <c r="B11" s="1075"/>
      <c r="C11" s="363">
        <f>C12+C13</f>
        <v>15</v>
      </c>
      <c r="D11" s="363">
        <f aca="true" t="shared" si="0" ref="D11:N11">D12+D13</f>
        <v>24788</v>
      </c>
      <c r="E11" s="363">
        <f t="shared" si="0"/>
        <v>13</v>
      </c>
      <c r="F11" s="363">
        <f t="shared" si="0"/>
        <v>21388</v>
      </c>
      <c r="G11" s="363">
        <f t="shared" si="0"/>
        <v>15</v>
      </c>
      <c r="H11" s="363">
        <f t="shared" si="0"/>
        <v>24788</v>
      </c>
      <c r="I11" s="363">
        <f t="shared" si="0"/>
        <v>13</v>
      </c>
      <c r="J11" s="363">
        <f t="shared" si="0"/>
        <v>21388</v>
      </c>
      <c r="K11" s="363">
        <f t="shared" si="0"/>
        <v>0</v>
      </c>
      <c r="L11" s="363">
        <f t="shared" si="0"/>
        <v>0</v>
      </c>
      <c r="M11" s="363">
        <f t="shared" si="0"/>
        <v>0</v>
      </c>
      <c r="N11" s="363">
        <f t="shared" si="0"/>
        <v>0</v>
      </c>
    </row>
    <row r="12" spans="1:14" ht="21" customHeight="1">
      <c r="A12" s="85" t="s">
        <v>14</v>
      </c>
      <c r="B12" s="224" t="s">
        <v>393</v>
      </c>
      <c r="C12" s="363">
        <f>G12+K12</f>
        <v>2</v>
      </c>
      <c r="D12" s="362">
        <f>H12+L12</f>
        <v>3900</v>
      </c>
      <c r="E12" s="363">
        <f>I12+M12</f>
        <v>0</v>
      </c>
      <c r="F12" s="364">
        <f>J12+N12</f>
        <v>500</v>
      </c>
      <c r="G12" s="365">
        <v>2</v>
      </c>
      <c r="H12" s="365">
        <v>3900</v>
      </c>
      <c r="I12" s="365">
        <v>0</v>
      </c>
      <c r="J12" s="365">
        <v>500</v>
      </c>
      <c r="K12" s="365">
        <v>0</v>
      </c>
      <c r="L12" s="365">
        <v>0</v>
      </c>
      <c r="M12" s="365">
        <v>0</v>
      </c>
      <c r="N12" s="365">
        <v>0</v>
      </c>
    </row>
    <row r="13" spans="1:14" ht="17.25" customHeight="1">
      <c r="A13" s="143" t="s">
        <v>15</v>
      </c>
      <c r="B13" s="224" t="s">
        <v>125</v>
      </c>
      <c r="C13" s="363">
        <f>C14+C15+C16+C17+C18+C19+C20+C21+C22+C23</f>
        <v>13</v>
      </c>
      <c r="D13" s="363">
        <f aca="true" t="shared" si="1" ref="D13:N13">D14+D15+D16+D17+D18+D19+D20+D21+D22+D23</f>
        <v>20888</v>
      </c>
      <c r="E13" s="363">
        <f t="shared" si="1"/>
        <v>13</v>
      </c>
      <c r="F13" s="363">
        <f t="shared" si="1"/>
        <v>20888</v>
      </c>
      <c r="G13" s="363">
        <f t="shared" si="1"/>
        <v>13</v>
      </c>
      <c r="H13" s="363">
        <f t="shared" si="1"/>
        <v>20888</v>
      </c>
      <c r="I13" s="363">
        <f t="shared" si="1"/>
        <v>13</v>
      </c>
      <c r="J13" s="363">
        <f t="shared" si="1"/>
        <v>20888</v>
      </c>
      <c r="K13" s="363">
        <f t="shared" si="1"/>
        <v>0</v>
      </c>
      <c r="L13" s="363">
        <f t="shared" si="1"/>
        <v>0</v>
      </c>
      <c r="M13" s="363">
        <f t="shared" si="1"/>
        <v>0</v>
      </c>
      <c r="N13" s="363">
        <f t="shared" si="1"/>
        <v>0</v>
      </c>
    </row>
    <row r="14" spans="1:14" ht="19.5" customHeight="1">
      <c r="A14" s="83" t="s">
        <v>212</v>
      </c>
      <c r="B14" s="425" t="s">
        <v>446</v>
      </c>
      <c r="C14" s="363">
        <f>G14+K14</f>
        <v>9</v>
      </c>
      <c r="D14" s="362">
        <f>H14+L14</f>
        <v>17902</v>
      </c>
      <c r="E14" s="363">
        <f>I14+M14</f>
        <v>9</v>
      </c>
      <c r="F14" s="364">
        <f>J14+N14</f>
        <v>17902</v>
      </c>
      <c r="G14" s="365">
        <v>9</v>
      </c>
      <c r="H14" s="365">
        <v>17902</v>
      </c>
      <c r="I14" s="365">
        <v>9</v>
      </c>
      <c r="J14" s="365">
        <v>17902</v>
      </c>
      <c r="K14" s="365">
        <v>0</v>
      </c>
      <c r="L14" s="365">
        <v>0</v>
      </c>
      <c r="M14" s="365">
        <v>0</v>
      </c>
      <c r="N14" s="365">
        <v>0</v>
      </c>
    </row>
    <row r="15" spans="1:14" ht="19.5" customHeight="1">
      <c r="A15" s="83" t="s">
        <v>213</v>
      </c>
      <c r="B15" s="425" t="s">
        <v>447</v>
      </c>
      <c r="C15" s="363">
        <f aca="true" t="shared" si="2" ref="C15:C23">G15+K15</f>
        <v>0</v>
      </c>
      <c r="D15" s="362">
        <f aca="true" t="shared" si="3" ref="D15:D23">H15+L15</f>
        <v>0</v>
      </c>
      <c r="E15" s="363">
        <f aca="true" t="shared" si="4" ref="E15:E23">I15+M15</f>
        <v>0</v>
      </c>
      <c r="F15" s="364">
        <f aca="true" t="shared" si="5" ref="F15:F23">J15+N15</f>
        <v>0</v>
      </c>
      <c r="G15" s="365">
        <v>0</v>
      </c>
      <c r="H15" s="365">
        <v>0</v>
      </c>
      <c r="I15" s="365">
        <v>0</v>
      </c>
      <c r="J15" s="365">
        <v>0</v>
      </c>
      <c r="K15" s="365">
        <v>0</v>
      </c>
      <c r="L15" s="365">
        <v>0</v>
      </c>
      <c r="M15" s="365">
        <v>0</v>
      </c>
      <c r="N15" s="365">
        <v>0</v>
      </c>
    </row>
    <row r="16" spans="1:14" ht="19.5" customHeight="1">
      <c r="A16" s="83" t="s">
        <v>214</v>
      </c>
      <c r="B16" s="425" t="s">
        <v>448</v>
      </c>
      <c r="C16" s="363">
        <f t="shared" si="2"/>
        <v>0</v>
      </c>
      <c r="D16" s="362">
        <f t="shared" si="3"/>
        <v>0</v>
      </c>
      <c r="E16" s="363">
        <f t="shared" si="4"/>
        <v>0</v>
      </c>
      <c r="F16" s="364">
        <f t="shared" si="5"/>
        <v>0</v>
      </c>
      <c r="G16" s="365">
        <v>0</v>
      </c>
      <c r="H16" s="365">
        <v>0</v>
      </c>
      <c r="I16" s="365">
        <v>0</v>
      </c>
      <c r="J16" s="365">
        <v>0</v>
      </c>
      <c r="K16" s="365">
        <v>0</v>
      </c>
      <c r="L16" s="365">
        <v>0</v>
      </c>
      <c r="M16" s="365">
        <v>0</v>
      </c>
      <c r="N16" s="365">
        <v>0</v>
      </c>
    </row>
    <row r="17" spans="1:14" ht="19.5" customHeight="1">
      <c r="A17" s="83" t="s">
        <v>296</v>
      </c>
      <c r="B17" s="425" t="s">
        <v>449</v>
      </c>
      <c r="C17" s="363">
        <f t="shared" si="2"/>
        <v>0</v>
      </c>
      <c r="D17" s="362">
        <f t="shared" si="3"/>
        <v>0</v>
      </c>
      <c r="E17" s="363">
        <f t="shared" si="4"/>
        <v>0</v>
      </c>
      <c r="F17" s="364">
        <f t="shared" si="5"/>
        <v>0</v>
      </c>
      <c r="G17" s="365">
        <v>0</v>
      </c>
      <c r="H17" s="365">
        <v>0</v>
      </c>
      <c r="I17" s="365">
        <v>0</v>
      </c>
      <c r="J17" s="365">
        <v>0</v>
      </c>
      <c r="K17" s="365">
        <v>0</v>
      </c>
      <c r="L17" s="365">
        <v>0</v>
      </c>
      <c r="M17" s="365">
        <v>0</v>
      </c>
      <c r="N17" s="365">
        <v>0</v>
      </c>
    </row>
    <row r="18" spans="1:14" ht="19.5" customHeight="1">
      <c r="A18" s="83" t="s">
        <v>297</v>
      </c>
      <c r="B18" s="425" t="s">
        <v>450</v>
      </c>
      <c r="C18" s="363">
        <f t="shared" si="2"/>
        <v>0</v>
      </c>
      <c r="D18" s="362">
        <f t="shared" si="3"/>
        <v>0</v>
      </c>
      <c r="E18" s="363">
        <f t="shared" si="4"/>
        <v>0</v>
      </c>
      <c r="F18" s="364">
        <f t="shared" si="5"/>
        <v>0</v>
      </c>
      <c r="G18" s="365">
        <v>0</v>
      </c>
      <c r="H18" s="365">
        <v>0</v>
      </c>
      <c r="I18" s="365">
        <v>0</v>
      </c>
      <c r="J18" s="365">
        <v>0</v>
      </c>
      <c r="K18" s="365">
        <v>0</v>
      </c>
      <c r="L18" s="365">
        <v>0</v>
      </c>
      <c r="M18" s="365">
        <v>0</v>
      </c>
      <c r="N18" s="365">
        <v>0</v>
      </c>
    </row>
    <row r="19" spans="1:14" ht="19.5" customHeight="1">
      <c r="A19" s="83" t="s">
        <v>298</v>
      </c>
      <c r="B19" s="425" t="s">
        <v>451</v>
      </c>
      <c r="C19" s="363">
        <f t="shared" si="2"/>
        <v>0</v>
      </c>
      <c r="D19" s="362">
        <f t="shared" si="3"/>
        <v>0</v>
      </c>
      <c r="E19" s="363">
        <f t="shared" si="4"/>
        <v>0</v>
      </c>
      <c r="F19" s="364">
        <f t="shared" si="5"/>
        <v>0</v>
      </c>
      <c r="G19" s="365">
        <v>0</v>
      </c>
      <c r="H19" s="365">
        <v>0</v>
      </c>
      <c r="I19" s="365">
        <v>0</v>
      </c>
      <c r="J19" s="365">
        <v>0</v>
      </c>
      <c r="K19" s="365">
        <v>0</v>
      </c>
      <c r="L19" s="365">
        <v>0</v>
      </c>
      <c r="M19" s="365">
        <v>0</v>
      </c>
      <c r="N19" s="365">
        <v>0</v>
      </c>
    </row>
    <row r="20" spans="1:14" ht="19.5" customHeight="1">
      <c r="A20" s="83" t="s">
        <v>299</v>
      </c>
      <c r="B20" s="425" t="s">
        <v>452</v>
      </c>
      <c r="C20" s="363">
        <f t="shared" si="2"/>
        <v>0</v>
      </c>
      <c r="D20" s="362">
        <f t="shared" si="3"/>
        <v>0</v>
      </c>
      <c r="E20" s="363">
        <f t="shared" si="4"/>
        <v>0</v>
      </c>
      <c r="F20" s="364">
        <f t="shared" si="5"/>
        <v>0</v>
      </c>
      <c r="G20" s="365">
        <v>0</v>
      </c>
      <c r="H20" s="365">
        <v>0</v>
      </c>
      <c r="I20" s="365">
        <v>0</v>
      </c>
      <c r="J20" s="365">
        <v>0</v>
      </c>
      <c r="K20" s="365">
        <v>0</v>
      </c>
      <c r="L20" s="365">
        <v>0</v>
      </c>
      <c r="M20" s="365">
        <v>0</v>
      </c>
      <c r="N20" s="365">
        <v>0</v>
      </c>
    </row>
    <row r="21" spans="1:14" ht="19.5" customHeight="1">
      <c r="A21" s="83" t="s">
        <v>300</v>
      </c>
      <c r="B21" s="425" t="s">
        <v>453</v>
      </c>
      <c r="C21" s="363">
        <f t="shared" si="2"/>
        <v>0</v>
      </c>
      <c r="D21" s="362">
        <f t="shared" si="3"/>
        <v>0</v>
      </c>
      <c r="E21" s="363">
        <f t="shared" si="4"/>
        <v>0</v>
      </c>
      <c r="F21" s="364">
        <f t="shared" si="5"/>
        <v>0</v>
      </c>
      <c r="G21" s="365">
        <v>0</v>
      </c>
      <c r="H21" s="365">
        <v>0</v>
      </c>
      <c r="I21" s="365">
        <v>0</v>
      </c>
      <c r="J21" s="365">
        <v>0</v>
      </c>
      <c r="K21" s="365">
        <v>0</v>
      </c>
      <c r="L21" s="365">
        <v>0</v>
      </c>
      <c r="M21" s="365">
        <v>0</v>
      </c>
      <c r="N21" s="365">
        <v>0</v>
      </c>
    </row>
    <row r="22" spans="1:14" ht="19.5" customHeight="1">
      <c r="A22" s="83" t="s">
        <v>301</v>
      </c>
      <c r="B22" s="425" t="s">
        <v>454</v>
      </c>
      <c r="C22" s="363">
        <f t="shared" si="2"/>
        <v>4</v>
      </c>
      <c r="D22" s="362">
        <f t="shared" si="3"/>
        <v>2986</v>
      </c>
      <c r="E22" s="363">
        <f t="shared" si="4"/>
        <v>4</v>
      </c>
      <c r="F22" s="364">
        <f t="shared" si="5"/>
        <v>2986</v>
      </c>
      <c r="G22" s="365">
        <v>4</v>
      </c>
      <c r="H22" s="365">
        <v>2986</v>
      </c>
      <c r="I22" s="365">
        <v>4</v>
      </c>
      <c r="J22" s="365">
        <v>2986</v>
      </c>
      <c r="K22" s="365">
        <v>0</v>
      </c>
      <c r="L22" s="365">
        <v>0</v>
      </c>
      <c r="M22" s="365">
        <v>0</v>
      </c>
      <c r="N22" s="365">
        <v>0</v>
      </c>
    </row>
    <row r="23" spans="1:14" ht="19.5" customHeight="1" thickBot="1">
      <c r="A23" s="222" t="s">
        <v>345</v>
      </c>
      <c r="B23" s="684" t="s">
        <v>455</v>
      </c>
      <c r="C23" s="446">
        <f t="shared" si="2"/>
        <v>0</v>
      </c>
      <c r="D23" s="720">
        <f t="shared" si="3"/>
        <v>0</v>
      </c>
      <c r="E23" s="446">
        <f t="shared" si="4"/>
        <v>0</v>
      </c>
      <c r="F23" s="721">
        <f t="shared" si="5"/>
        <v>0</v>
      </c>
      <c r="G23" s="722">
        <v>0</v>
      </c>
      <c r="H23" s="722">
        <v>0</v>
      </c>
      <c r="I23" s="722">
        <v>0</v>
      </c>
      <c r="J23" s="722">
        <v>0</v>
      </c>
      <c r="K23" s="722">
        <v>0</v>
      </c>
      <c r="L23" s="722">
        <v>0</v>
      </c>
      <c r="M23" s="722">
        <v>0</v>
      </c>
      <c r="N23" s="722">
        <v>0</v>
      </c>
    </row>
    <row r="24" spans="7:14" ht="14.25" customHeight="1" thickTop="1">
      <c r="G24" s="144"/>
      <c r="H24" s="144"/>
      <c r="I24" s="144"/>
      <c r="J24" s="144"/>
      <c r="K24" s="144"/>
      <c r="L24" s="144"/>
      <c r="M24" s="144"/>
      <c r="N24" s="144"/>
    </row>
    <row r="25" spans="1:14" s="79" customFormat="1" ht="15" customHeight="1">
      <c r="A25" s="76"/>
      <c r="B25" s="1076" t="s">
        <v>384</v>
      </c>
      <c r="C25" s="1076"/>
      <c r="D25" s="1076"/>
      <c r="E25" s="1076"/>
      <c r="F25" s="128"/>
      <c r="G25" s="145"/>
      <c r="H25" s="145"/>
      <c r="I25" s="145"/>
      <c r="J25" s="994" t="s">
        <v>384</v>
      </c>
      <c r="K25" s="994"/>
      <c r="L25" s="994"/>
      <c r="M25" s="994"/>
      <c r="N25" s="994"/>
    </row>
    <row r="26" spans="1:16" s="149" customFormat="1" ht="19.5" customHeight="1">
      <c r="A26" s="146"/>
      <c r="B26" s="1068" t="s">
        <v>172</v>
      </c>
      <c r="C26" s="1068"/>
      <c r="D26" s="100"/>
      <c r="E26" s="147"/>
      <c r="F26" s="147"/>
      <c r="G26" s="148"/>
      <c r="H26" s="148"/>
      <c r="I26" s="148"/>
      <c r="J26" s="1068" t="s">
        <v>660</v>
      </c>
      <c r="K26" s="1068"/>
      <c r="L26" s="1068"/>
      <c r="M26" s="1068"/>
      <c r="N26" s="1068"/>
      <c r="O26" s="100"/>
      <c r="P26" s="100"/>
    </row>
    <row r="27" spans="1:16" s="149" customFormat="1" ht="19.5" customHeight="1">
      <c r="A27" s="146"/>
      <c r="B27" s="1077"/>
      <c r="C27" s="1077"/>
      <c r="D27" s="1077"/>
      <c r="E27" s="147"/>
      <c r="F27" s="147"/>
      <c r="G27" s="148"/>
      <c r="H27" s="148"/>
      <c r="I27" s="148"/>
      <c r="J27" s="987" t="s">
        <v>656</v>
      </c>
      <c r="K27" s="987"/>
      <c r="L27" s="987"/>
      <c r="M27" s="987"/>
      <c r="N27" s="987"/>
      <c r="O27" s="100"/>
      <c r="P27" s="100"/>
    </row>
    <row r="28" spans="1:16" s="149" customFormat="1" ht="19.5" customHeight="1">
      <c r="A28" s="146"/>
      <c r="B28" s="202"/>
      <c r="C28" s="202"/>
      <c r="D28" s="202"/>
      <c r="E28" s="147"/>
      <c r="F28" s="147"/>
      <c r="G28" s="148"/>
      <c r="H28" s="148"/>
      <c r="I28" s="148"/>
      <c r="J28" s="203"/>
      <c r="K28" s="203"/>
      <c r="L28" s="203"/>
      <c r="M28" s="203"/>
      <c r="N28" s="203"/>
      <c r="O28" s="100"/>
      <c r="P28" s="100"/>
    </row>
    <row r="29" spans="1:16" s="149" customFormat="1" ht="19.5" customHeight="1">
      <c r="A29" s="146"/>
      <c r="B29" s="202"/>
      <c r="C29" s="202"/>
      <c r="D29" s="202"/>
      <c r="E29" s="147"/>
      <c r="F29" s="147"/>
      <c r="G29" s="148"/>
      <c r="H29" s="148"/>
      <c r="I29" s="148"/>
      <c r="J29" s="203"/>
      <c r="K29" s="203"/>
      <c r="L29" s="203"/>
      <c r="M29" s="203"/>
      <c r="N29" s="203"/>
      <c r="O29" s="100"/>
      <c r="P29" s="100"/>
    </row>
    <row r="30" spans="1:16" s="149" customFormat="1" ht="19.5" customHeight="1">
      <c r="A30" s="146"/>
      <c r="B30" s="1068" t="s">
        <v>390</v>
      </c>
      <c r="C30" s="1068"/>
      <c r="D30" s="100"/>
      <c r="E30" s="147"/>
      <c r="F30" s="147"/>
      <c r="G30" s="148"/>
      <c r="H30" s="148"/>
      <c r="I30" s="148"/>
      <c r="J30" s="1068" t="s">
        <v>2</v>
      </c>
      <c r="K30" s="1068"/>
      <c r="L30" s="1068"/>
      <c r="M30" s="1068"/>
      <c r="N30" s="1068"/>
      <c r="O30" s="100"/>
      <c r="P30" s="100"/>
    </row>
    <row r="31" spans="1:16" s="149" customFormat="1" ht="19.5" customHeight="1">
      <c r="A31" s="146"/>
      <c r="B31" s="95"/>
      <c r="C31" s="95"/>
      <c r="D31" s="95"/>
      <c r="E31" s="147"/>
      <c r="F31" s="147"/>
      <c r="G31" s="148"/>
      <c r="H31" s="148"/>
      <c r="I31" s="148"/>
      <c r="J31" s="95"/>
      <c r="K31" s="95"/>
      <c r="L31" s="95"/>
      <c r="M31" s="95"/>
      <c r="N31" s="95"/>
      <c r="O31" s="100"/>
      <c r="P31" s="100"/>
    </row>
    <row r="32" spans="2:14" ht="16.5">
      <c r="B32" s="150"/>
      <c r="C32" s="151"/>
      <c r="D32" s="151"/>
      <c r="E32" s="151"/>
      <c r="F32" s="151"/>
      <c r="G32" s="152"/>
      <c r="H32" s="152"/>
      <c r="I32" s="152"/>
      <c r="J32" s="152"/>
      <c r="K32" s="152"/>
      <c r="L32" s="152"/>
      <c r="M32" s="152"/>
      <c r="N32" s="150"/>
    </row>
    <row r="33" spans="4:13" ht="15.75">
      <c r="D33" s="138"/>
      <c r="E33" s="138"/>
      <c r="F33" s="138"/>
      <c r="G33" s="139"/>
      <c r="H33" s="139"/>
      <c r="I33" s="139"/>
      <c r="J33" s="139"/>
      <c r="K33" s="139"/>
      <c r="L33" s="139"/>
      <c r="M33" s="139"/>
    </row>
    <row r="34" ht="15.75">
      <c r="B34" s="153"/>
    </row>
    <row r="35" ht="15.75">
      <c r="B35" s="153"/>
    </row>
    <row r="36" ht="15.75">
      <c r="B36" s="153"/>
    </row>
  </sheetData>
  <sheetProtection/>
  <mergeCells count="32">
    <mergeCell ref="C8:D8"/>
    <mergeCell ref="A4:D4"/>
    <mergeCell ref="E1:K2"/>
    <mergeCell ref="A1:D1"/>
    <mergeCell ref="A2:D2"/>
    <mergeCell ref="E3:J3"/>
    <mergeCell ref="A3:D3"/>
    <mergeCell ref="E4:K4"/>
    <mergeCell ref="J30:N30"/>
    <mergeCell ref="L1:N1"/>
    <mergeCell ref="J25:N25"/>
    <mergeCell ref="K8:L8"/>
    <mergeCell ref="M8:N8"/>
    <mergeCell ref="L4:N4"/>
    <mergeCell ref="L2:N2"/>
    <mergeCell ref="L3:N3"/>
    <mergeCell ref="J26:N26"/>
    <mergeCell ref="G7:J7"/>
    <mergeCell ref="B30:C30"/>
    <mergeCell ref="A11:B11"/>
    <mergeCell ref="B25:E25"/>
    <mergeCell ref="B27:D27"/>
    <mergeCell ref="J27:N27"/>
    <mergeCell ref="I8:J8"/>
    <mergeCell ref="A6:B9"/>
    <mergeCell ref="B26:C26"/>
    <mergeCell ref="A10:B10"/>
    <mergeCell ref="E8:F8"/>
    <mergeCell ref="G8:H8"/>
    <mergeCell ref="C6:F7"/>
    <mergeCell ref="G6:N6"/>
    <mergeCell ref="K7:N7"/>
  </mergeCells>
  <printOptions/>
  <pageMargins left="0.24" right="0" top="0.2" bottom="0" header="0.2" footer="0.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4"/>
  </sheetPr>
  <dimension ref="A1:AA90"/>
  <sheetViews>
    <sheetView zoomScalePageLayoutView="0" workbookViewId="0" topLeftCell="A16">
      <selection activeCell="H14" sqref="H14"/>
    </sheetView>
  </sheetViews>
  <sheetFormatPr defaultColWidth="9.00390625" defaultRowHeight="15.75"/>
  <cols>
    <col min="1" max="1" width="3.125" style="76" customWidth="1"/>
    <col min="2" max="2" width="13.375" style="76" customWidth="1"/>
    <col min="3" max="3" width="8.25390625" style="76" customWidth="1"/>
    <col min="4" max="6" width="7.75390625" style="76" customWidth="1"/>
    <col min="7" max="7" width="6.625" style="76" customWidth="1"/>
    <col min="8" max="8" width="7.25390625" style="76" customWidth="1"/>
    <col min="9" max="10" width="6.625" style="76" customWidth="1"/>
    <col min="11" max="11" width="4.875" style="76" customWidth="1"/>
    <col min="12" max="12" width="7.25390625" style="76" customWidth="1"/>
    <col min="13" max="14" width="7.50390625" style="76" customWidth="1"/>
    <col min="15" max="15" width="7.125" style="76" customWidth="1"/>
    <col min="16" max="16" width="6.375" style="76" customWidth="1"/>
    <col min="17" max="17" width="7.375" style="76" customWidth="1"/>
    <col min="18" max="18" width="7.125" style="76" customWidth="1"/>
    <col min="19" max="19" width="4.625" style="76" customWidth="1"/>
    <col min="20" max="20" width="8.25390625" style="76" customWidth="1"/>
    <col min="21" max="21" width="4.625" style="76" customWidth="1"/>
    <col min="22" max="22" width="12.125" style="76" bestFit="1" customWidth="1"/>
    <col min="23" max="16384" width="9.00390625" style="76" customWidth="1"/>
  </cols>
  <sheetData>
    <row r="1" spans="1:19" ht="20.25" customHeight="1">
      <c r="A1" s="1115" t="s">
        <v>141</v>
      </c>
      <c r="B1" s="1115"/>
      <c r="C1" s="1115"/>
      <c r="D1" s="1115"/>
      <c r="E1" s="1125" t="s">
        <v>306</v>
      </c>
      <c r="F1" s="1125"/>
      <c r="G1" s="1125"/>
      <c r="H1" s="1125"/>
      <c r="I1" s="1125"/>
      <c r="J1" s="1125"/>
      <c r="K1" s="1125"/>
      <c r="L1" s="1125"/>
      <c r="M1" s="1125"/>
      <c r="N1" s="1125"/>
      <c r="O1" s="154" t="s">
        <v>380</v>
      </c>
      <c r="P1" s="154"/>
      <c r="Q1" s="154"/>
      <c r="R1" s="154"/>
      <c r="S1" s="154"/>
    </row>
    <row r="2" spans="1:19" ht="21" customHeight="1">
      <c r="A2" s="1115" t="s">
        <v>367</v>
      </c>
      <c r="B2" s="1115"/>
      <c r="C2" s="1115"/>
      <c r="D2" s="1115"/>
      <c r="E2" s="997" t="s">
        <v>171</v>
      </c>
      <c r="F2" s="997"/>
      <c r="G2" s="997"/>
      <c r="H2" s="997"/>
      <c r="I2" s="997"/>
      <c r="J2" s="997"/>
      <c r="K2" s="997"/>
      <c r="L2" s="997"/>
      <c r="M2" s="997"/>
      <c r="N2" s="997"/>
      <c r="O2" s="1079" t="s">
        <v>388</v>
      </c>
      <c r="P2" s="1079"/>
      <c r="Q2" s="1079"/>
      <c r="R2" s="1079"/>
      <c r="S2" s="1079"/>
    </row>
    <row r="3" spans="1:19" ht="16.5" customHeight="1">
      <c r="A3" s="996" t="s">
        <v>368</v>
      </c>
      <c r="B3" s="996"/>
      <c r="C3" s="996"/>
      <c r="D3" s="996"/>
      <c r="E3" s="987" t="s">
        <v>0</v>
      </c>
      <c r="F3" s="987"/>
      <c r="G3" s="987"/>
      <c r="H3" s="987"/>
      <c r="I3" s="987"/>
      <c r="J3" s="987"/>
      <c r="K3" s="987"/>
      <c r="L3" s="987"/>
      <c r="M3" s="987"/>
      <c r="N3" s="987"/>
      <c r="O3" s="1080" t="s">
        <v>378</v>
      </c>
      <c r="P3" s="1080"/>
      <c r="Q3" s="1080"/>
      <c r="R3" s="1080"/>
      <c r="S3" s="1080"/>
    </row>
    <row r="4" spans="1:19" ht="18" customHeight="1">
      <c r="A4" s="1115" t="s">
        <v>19</v>
      </c>
      <c r="B4" s="1115"/>
      <c r="C4" s="1115"/>
      <c r="D4" s="1115"/>
      <c r="E4" s="1106" t="s">
        <v>1</v>
      </c>
      <c r="F4" s="1106"/>
      <c r="G4" s="1106"/>
      <c r="H4" s="1106"/>
      <c r="I4" s="1106"/>
      <c r="J4" s="1106"/>
      <c r="K4" s="1106"/>
      <c r="L4" s="1106"/>
      <c r="M4" s="1106"/>
      <c r="N4" s="1106"/>
      <c r="O4" s="1079" t="s">
        <v>392</v>
      </c>
      <c r="P4" s="1079"/>
      <c r="Q4" s="1079"/>
      <c r="R4" s="1079"/>
      <c r="S4" s="1079"/>
    </row>
    <row r="5" spans="1:19" ht="24" customHeight="1">
      <c r="A5" s="137"/>
      <c r="D5" s="529"/>
      <c r="E5" s="529"/>
      <c r="F5" s="529"/>
      <c r="G5" s="529"/>
      <c r="H5" s="529"/>
      <c r="I5" s="529"/>
      <c r="J5" s="529"/>
      <c r="K5" s="529"/>
      <c r="L5" s="529"/>
      <c r="M5" s="140"/>
      <c r="N5" s="140"/>
      <c r="O5" s="155" t="s">
        <v>20</v>
      </c>
      <c r="P5" s="155"/>
      <c r="Q5" s="155"/>
      <c r="R5" s="155"/>
      <c r="S5" s="155"/>
    </row>
    <row r="6" spans="1:19" ht="24" customHeight="1">
      <c r="A6" s="1089" t="s">
        <v>294</v>
      </c>
      <c r="B6" s="1090"/>
      <c r="C6" s="1086" t="s">
        <v>249</v>
      </c>
      <c r="D6" s="1087"/>
      <c r="E6" s="1088"/>
      <c r="F6" s="1112" t="s">
        <v>163</v>
      </c>
      <c r="G6" s="1113"/>
      <c r="H6" s="1113"/>
      <c r="I6" s="1113"/>
      <c r="J6" s="1113"/>
      <c r="K6" s="1113"/>
      <c r="L6" s="1113"/>
      <c r="M6" s="1113"/>
      <c r="N6" s="1113"/>
      <c r="O6" s="1113"/>
      <c r="P6" s="1113"/>
      <c r="Q6" s="1113"/>
      <c r="R6" s="1114"/>
      <c r="S6" s="1116" t="s">
        <v>307</v>
      </c>
    </row>
    <row r="7" spans="1:19" ht="29.25" customHeight="1">
      <c r="A7" s="1091"/>
      <c r="B7" s="1092"/>
      <c r="C7" s="1044" t="s">
        <v>291</v>
      </c>
      <c r="D7" s="1086" t="s">
        <v>106</v>
      </c>
      <c r="E7" s="1088"/>
      <c r="F7" s="1055" t="s">
        <v>57</v>
      </c>
      <c r="G7" s="1055"/>
      <c r="H7" s="1055"/>
      <c r="I7" s="1055"/>
      <c r="J7" s="1055"/>
      <c r="K7" s="1055"/>
      <c r="L7" s="1055"/>
      <c r="M7" s="1056"/>
      <c r="N7" s="1054" t="s">
        <v>250</v>
      </c>
      <c r="O7" s="1055"/>
      <c r="P7" s="1055"/>
      <c r="Q7" s="1056"/>
      <c r="R7" s="1122" t="s">
        <v>103</v>
      </c>
      <c r="S7" s="1116"/>
    </row>
    <row r="8" spans="1:19" ht="18.75" customHeight="1">
      <c r="A8" s="1091"/>
      <c r="B8" s="1092"/>
      <c r="C8" s="1046"/>
      <c r="D8" s="1120"/>
      <c r="E8" s="1121"/>
      <c r="F8" s="1088" t="s">
        <v>216</v>
      </c>
      <c r="G8" s="1086" t="s">
        <v>106</v>
      </c>
      <c r="H8" s="1087"/>
      <c r="I8" s="1087"/>
      <c r="J8" s="1087"/>
      <c r="K8" s="1087"/>
      <c r="L8" s="1087"/>
      <c r="M8" s="1088"/>
      <c r="N8" s="1097" t="s">
        <v>146</v>
      </c>
      <c r="O8" s="1128" t="s">
        <v>106</v>
      </c>
      <c r="P8" s="1129"/>
      <c r="Q8" s="1130"/>
      <c r="R8" s="1123"/>
      <c r="S8" s="1116"/>
    </row>
    <row r="9" spans="1:19" ht="24.75" customHeight="1">
      <c r="A9" s="1091"/>
      <c r="B9" s="1092"/>
      <c r="C9" s="1057"/>
      <c r="D9" s="1107" t="s">
        <v>256</v>
      </c>
      <c r="E9" s="1118" t="s">
        <v>184</v>
      </c>
      <c r="F9" s="1095"/>
      <c r="G9" s="1097" t="s">
        <v>290</v>
      </c>
      <c r="H9" s="1118" t="s">
        <v>258</v>
      </c>
      <c r="I9" s="1118" t="s">
        <v>289</v>
      </c>
      <c r="J9" s="1118" t="s">
        <v>259</v>
      </c>
      <c r="K9" s="1102" t="s">
        <v>288</v>
      </c>
      <c r="L9" s="1104" t="s">
        <v>100</v>
      </c>
      <c r="M9" s="1104" t="s">
        <v>101</v>
      </c>
      <c r="N9" s="1095"/>
      <c r="O9" s="1100" t="s">
        <v>287</v>
      </c>
      <c r="P9" s="1126" t="s">
        <v>286</v>
      </c>
      <c r="Q9" s="1104" t="s">
        <v>102</v>
      </c>
      <c r="R9" s="1123"/>
      <c r="S9" s="1116"/>
    </row>
    <row r="10" spans="1:22" ht="85.5" customHeight="1">
      <c r="A10" s="1093"/>
      <c r="B10" s="1094"/>
      <c r="C10" s="1058"/>
      <c r="D10" s="1108"/>
      <c r="E10" s="1119"/>
      <c r="F10" s="1096"/>
      <c r="G10" s="1096"/>
      <c r="H10" s="1119"/>
      <c r="I10" s="1119"/>
      <c r="J10" s="1119"/>
      <c r="K10" s="1103"/>
      <c r="L10" s="1105"/>
      <c r="M10" s="1105"/>
      <c r="N10" s="1096"/>
      <c r="O10" s="1101"/>
      <c r="P10" s="1127"/>
      <c r="Q10" s="1105"/>
      <c r="R10" s="1124"/>
      <c r="S10" s="1116"/>
      <c r="U10" s="419"/>
      <c r="V10" s="108"/>
    </row>
    <row r="11" spans="1:19" ht="13.5" customHeight="1">
      <c r="A11" s="1110" t="s">
        <v>105</v>
      </c>
      <c r="B11" s="1111"/>
      <c r="C11" s="384">
        <v>1</v>
      </c>
      <c r="D11" s="385">
        <v>2</v>
      </c>
      <c r="E11" s="384">
        <v>3</v>
      </c>
      <c r="F11" s="384">
        <v>4</v>
      </c>
      <c r="G11" s="385">
        <v>5</v>
      </c>
      <c r="H11" s="384">
        <v>6</v>
      </c>
      <c r="I11" s="384">
        <v>7</v>
      </c>
      <c r="J11" s="385">
        <v>8</v>
      </c>
      <c r="K11" s="384">
        <v>9</v>
      </c>
      <c r="L11" s="384">
        <v>10</v>
      </c>
      <c r="M11" s="385">
        <v>11</v>
      </c>
      <c r="N11" s="384">
        <v>12</v>
      </c>
      <c r="O11" s="384">
        <v>13</v>
      </c>
      <c r="P11" s="385">
        <v>14</v>
      </c>
      <c r="Q11" s="384">
        <v>15</v>
      </c>
      <c r="R11" s="384">
        <v>16</v>
      </c>
      <c r="S11" s="385">
        <v>17</v>
      </c>
    </row>
    <row r="12" spans="1:22" ht="24.75" customHeight="1">
      <c r="A12" s="1098" t="s">
        <v>146</v>
      </c>
      <c r="B12" s="1099"/>
      <c r="C12" s="543">
        <f>C13+C24</f>
        <v>1204519841</v>
      </c>
      <c r="D12" s="543">
        <f aca="true" t="shared" si="0" ref="D12:R12">D13+D24</f>
        <v>596468316</v>
      </c>
      <c r="E12" s="543">
        <f t="shared" si="0"/>
        <v>608051525</v>
      </c>
      <c r="F12" s="543">
        <f t="shared" si="0"/>
        <v>740116677</v>
      </c>
      <c r="G12" s="543">
        <f t="shared" si="0"/>
        <v>4525876</v>
      </c>
      <c r="H12" s="543">
        <f t="shared" si="0"/>
        <v>120241478</v>
      </c>
      <c r="I12" s="543">
        <f t="shared" si="0"/>
        <v>45721288</v>
      </c>
      <c r="J12" s="543">
        <f t="shared" si="0"/>
        <v>44779391</v>
      </c>
      <c r="K12" s="543">
        <f t="shared" si="0"/>
        <v>21388</v>
      </c>
      <c r="L12" s="543">
        <f t="shared" si="0"/>
        <v>458452800</v>
      </c>
      <c r="M12" s="543">
        <f t="shared" si="0"/>
        <v>66374456</v>
      </c>
      <c r="N12" s="543">
        <f>O12+P12+Q12</f>
        <v>464403164</v>
      </c>
      <c r="O12" s="543">
        <f t="shared" si="0"/>
        <v>40814117</v>
      </c>
      <c r="P12" s="543">
        <f t="shared" si="0"/>
        <v>5915584</v>
      </c>
      <c r="Q12" s="543">
        <f t="shared" si="0"/>
        <v>417673463</v>
      </c>
      <c r="R12" s="543">
        <f t="shared" si="0"/>
        <v>989230420</v>
      </c>
      <c r="S12" s="544">
        <f>(G12+H12+I12+J12+K12)*100/F12</f>
        <v>29.088578556648304</v>
      </c>
      <c r="T12" s="423">
        <f>N12+F12-C12</f>
        <v>0</v>
      </c>
      <c r="V12" s="431">
        <f>G12+H12+I12+J12+K12</f>
        <v>215289421</v>
      </c>
    </row>
    <row r="13" spans="1:22" ht="21.75" customHeight="1">
      <c r="A13" s="545" t="s">
        <v>14</v>
      </c>
      <c r="B13" s="546" t="s">
        <v>393</v>
      </c>
      <c r="C13" s="543">
        <f>SUM(C14:C23)</f>
        <v>135816768</v>
      </c>
      <c r="D13" s="543">
        <f aca="true" t="shared" si="1" ref="D13:R13">SUM(D14:D23)</f>
        <v>100858890</v>
      </c>
      <c r="E13" s="543">
        <f t="shared" si="1"/>
        <v>34957878</v>
      </c>
      <c r="F13" s="543">
        <f t="shared" si="1"/>
        <v>58196647</v>
      </c>
      <c r="G13" s="543">
        <f t="shared" si="1"/>
        <v>956692</v>
      </c>
      <c r="H13" s="543">
        <f t="shared" si="1"/>
        <v>31160106</v>
      </c>
      <c r="I13" s="543">
        <f t="shared" si="1"/>
        <v>3934217</v>
      </c>
      <c r="J13" s="543">
        <f t="shared" si="1"/>
        <v>6959331</v>
      </c>
      <c r="K13" s="543">
        <f t="shared" si="1"/>
        <v>500</v>
      </c>
      <c r="L13" s="543">
        <f t="shared" si="1"/>
        <v>15185801</v>
      </c>
      <c r="M13" s="543">
        <f t="shared" si="1"/>
        <v>0</v>
      </c>
      <c r="N13" s="543">
        <f t="shared" si="1"/>
        <v>77620121</v>
      </c>
      <c r="O13" s="543">
        <f t="shared" si="1"/>
        <v>11766982</v>
      </c>
      <c r="P13" s="543">
        <f t="shared" si="1"/>
        <v>2942664</v>
      </c>
      <c r="Q13" s="543">
        <f t="shared" si="1"/>
        <v>62910475</v>
      </c>
      <c r="R13" s="543">
        <f t="shared" si="1"/>
        <v>92805922</v>
      </c>
      <c r="S13" s="544">
        <f aca="true" t="shared" si="2" ref="S13:S23">(G13+H13+I13+J13+K13)*100/F13</f>
        <v>73.90605510314022</v>
      </c>
      <c r="T13" s="423">
        <f aca="true" t="shared" si="3" ref="T13:T78">N13+F13-C13</f>
        <v>0</v>
      </c>
      <c r="V13" s="430"/>
    </row>
    <row r="14" spans="1:27" ht="16.5" customHeight="1">
      <c r="A14" s="379">
        <v>1</v>
      </c>
      <c r="B14" s="621" t="s">
        <v>394</v>
      </c>
      <c r="C14" s="622">
        <f>D14+E14</f>
        <v>18740954</v>
      </c>
      <c r="D14" s="623">
        <v>17063169</v>
      </c>
      <c r="E14" s="623">
        <v>1677785</v>
      </c>
      <c r="F14" s="622">
        <f aca="true" t="shared" si="4" ref="F14:F23">G14+H14+I14+J14+K14+L14+M14</f>
        <v>5503301</v>
      </c>
      <c r="G14" s="623">
        <v>228000</v>
      </c>
      <c r="H14" s="623">
        <f>136077+200000</f>
        <v>336077</v>
      </c>
      <c r="I14" s="623">
        <v>0</v>
      </c>
      <c r="J14" s="623">
        <v>0</v>
      </c>
      <c r="K14" s="623">
        <v>500</v>
      </c>
      <c r="L14" s="623">
        <v>4938724</v>
      </c>
      <c r="M14" s="623">
        <v>0</v>
      </c>
      <c r="N14" s="622">
        <f>O14+P14+Q14</f>
        <v>13237653</v>
      </c>
      <c r="O14" s="623">
        <v>117933</v>
      </c>
      <c r="P14" s="623">
        <v>0</v>
      </c>
      <c r="Q14" s="623">
        <v>13119720</v>
      </c>
      <c r="R14" s="543">
        <f aca="true" t="shared" si="5" ref="R14:R23">Q14+P14+O14+M14+L14</f>
        <v>18176377</v>
      </c>
      <c r="S14" s="624">
        <f t="shared" si="2"/>
        <v>10.258879170883075</v>
      </c>
      <c r="T14" s="423">
        <f t="shared" si="3"/>
        <v>0</v>
      </c>
      <c r="U14" s="1084"/>
      <c r="V14" s="1085"/>
      <c r="W14" s="1085"/>
      <c r="X14" s="1085"/>
      <c r="Y14" s="1085"/>
      <c r="Z14" s="1085"/>
      <c r="AA14" s="1085"/>
    </row>
    <row r="15" spans="1:20" ht="17.25" customHeight="1">
      <c r="A15" s="379">
        <v>2</v>
      </c>
      <c r="B15" s="621" t="s">
        <v>395</v>
      </c>
      <c r="C15" s="622">
        <f aca="true" t="shared" si="6" ref="C15:C23">D15+E15</f>
        <v>15994846</v>
      </c>
      <c r="D15" s="623">
        <v>9558337</v>
      </c>
      <c r="E15" s="623">
        <v>6436509</v>
      </c>
      <c r="F15" s="622">
        <f t="shared" si="4"/>
        <v>6592541</v>
      </c>
      <c r="G15" s="623">
        <v>136837</v>
      </c>
      <c r="H15" s="623">
        <v>6007774</v>
      </c>
      <c r="I15" s="623">
        <v>88098</v>
      </c>
      <c r="J15" s="623">
        <v>116651</v>
      </c>
      <c r="K15" s="623">
        <v>0</v>
      </c>
      <c r="L15" s="623">
        <v>243181</v>
      </c>
      <c r="M15" s="623">
        <v>0</v>
      </c>
      <c r="N15" s="622">
        <f aca="true" t="shared" si="7" ref="N15:N23">O15+P15+Q15</f>
        <v>9402305</v>
      </c>
      <c r="O15" s="623">
        <v>231105</v>
      </c>
      <c r="P15" s="623">
        <v>0</v>
      </c>
      <c r="Q15" s="623">
        <v>9171200</v>
      </c>
      <c r="R15" s="543">
        <f t="shared" si="5"/>
        <v>9645486</v>
      </c>
      <c r="S15" s="624">
        <f t="shared" si="2"/>
        <v>96.31127057078598</v>
      </c>
      <c r="T15" s="423">
        <f t="shared" si="3"/>
        <v>0</v>
      </c>
    </row>
    <row r="16" spans="1:20" ht="16.5" customHeight="1">
      <c r="A16" s="379">
        <v>3</v>
      </c>
      <c r="B16" s="621" t="s">
        <v>396</v>
      </c>
      <c r="C16" s="622">
        <f t="shared" si="6"/>
        <v>8672722</v>
      </c>
      <c r="D16" s="623">
        <v>7819726</v>
      </c>
      <c r="E16" s="623">
        <v>852996</v>
      </c>
      <c r="F16" s="622">
        <f t="shared" si="4"/>
        <v>1206996</v>
      </c>
      <c r="G16" s="623">
        <v>120000</v>
      </c>
      <c r="H16" s="623">
        <v>315143</v>
      </c>
      <c r="I16" s="623">
        <v>5000</v>
      </c>
      <c r="J16" s="623">
        <v>0</v>
      </c>
      <c r="K16" s="623">
        <v>0</v>
      </c>
      <c r="L16" s="623">
        <v>766853</v>
      </c>
      <c r="M16" s="623">
        <v>0</v>
      </c>
      <c r="N16" s="622">
        <f t="shared" si="7"/>
        <v>7465726</v>
      </c>
      <c r="O16" s="623">
        <v>18290</v>
      </c>
      <c r="P16" s="623">
        <v>0</v>
      </c>
      <c r="Q16" s="623">
        <v>7447436</v>
      </c>
      <c r="R16" s="543">
        <f t="shared" si="5"/>
        <v>8232579</v>
      </c>
      <c r="S16" s="624">
        <f t="shared" si="2"/>
        <v>36.46598663127301</v>
      </c>
      <c r="T16" s="423">
        <f t="shared" si="3"/>
        <v>0</v>
      </c>
    </row>
    <row r="17" spans="1:20" ht="16.5" customHeight="1">
      <c r="A17" s="379">
        <v>4</v>
      </c>
      <c r="B17" s="621" t="s">
        <v>397</v>
      </c>
      <c r="C17" s="622">
        <f t="shared" si="6"/>
        <v>20506231</v>
      </c>
      <c r="D17" s="623">
        <v>15762346</v>
      </c>
      <c r="E17" s="623">
        <v>4743885</v>
      </c>
      <c r="F17" s="622">
        <f t="shared" si="4"/>
        <v>8712054</v>
      </c>
      <c r="G17" s="623">
        <v>0</v>
      </c>
      <c r="H17" s="623">
        <v>5613636</v>
      </c>
      <c r="I17" s="623">
        <v>2141091</v>
      </c>
      <c r="J17" s="623">
        <v>284500</v>
      </c>
      <c r="K17" s="623">
        <v>0</v>
      </c>
      <c r="L17" s="623">
        <v>672827</v>
      </c>
      <c r="M17" s="623">
        <v>0</v>
      </c>
      <c r="N17" s="622">
        <f t="shared" si="7"/>
        <v>11794177</v>
      </c>
      <c r="O17" s="623">
        <v>1286963</v>
      </c>
      <c r="P17" s="623">
        <v>2942664</v>
      </c>
      <c r="Q17" s="623">
        <v>7564550</v>
      </c>
      <c r="R17" s="543">
        <f t="shared" si="5"/>
        <v>12467004</v>
      </c>
      <c r="S17" s="624">
        <f t="shared" si="2"/>
        <v>92.27705659308356</v>
      </c>
      <c r="T17" s="423">
        <f t="shared" si="3"/>
        <v>0</v>
      </c>
    </row>
    <row r="18" spans="1:20" ht="17.25" customHeight="1">
      <c r="A18" s="379">
        <v>5</v>
      </c>
      <c r="B18" s="625" t="s">
        <v>398</v>
      </c>
      <c r="C18" s="622">
        <f t="shared" si="6"/>
        <v>26667327</v>
      </c>
      <c r="D18" s="623">
        <v>26024428</v>
      </c>
      <c r="E18" s="623">
        <v>642899</v>
      </c>
      <c r="F18" s="622">
        <f t="shared" si="4"/>
        <v>4074454</v>
      </c>
      <c r="G18" s="623">
        <v>218933</v>
      </c>
      <c r="H18" s="623">
        <v>2693641</v>
      </c>
      <c r="I18" s="623">
        <v>0</v>
      </c>
      <c r="J18" s="623">
        <v>0</v>
      </c>
      <c r="K18" s="623">
        <v>0</v>
      </c>
      <c r="L18" s="623">
        <v>1161880</v>
      </c>
      <c r="M18" s="623">
        <v>0</v>
      </c>
      <c r="N18" s="622">
        <f t="shared" si="7"/>
        <v>22592873</v>
      </c>
      <c r="O18" s="623">
        <v>89965</v>
      </c>
      <c r="P18" s="623">
        <v>0</v>
      </c>
      <c r="Q18" s="623">
        <v>22502908</v>
      </c>
      <c r="R18" s="543">
        <f t="shared" si="5"/>
        <v>23754753</v>
      </c>
      <c r="S18" s="624">
        <f t="shared" si="2"/>
        <v>71.48378653925164</v>
      </c>
      <c r="T18" s="423">
        <f t="shared" si="3"/>
        <v>0</v>
      </c>
    </row>
    <row r="19" spans="1:20" ht="16.5" customHeight="1">
      <c r="A19" s="379">
        <v>6</v>
      </c>
      <c r="B19" s="625" t="s">
        <v>644</v>
      </c>
      <c r="C19" s="622">
        <f t="shared" si="6"/>
        <v>6865647</v>
      </c>
      <c r="D19" s="626">
        <v>0</v>
      </c>
      <c r="E19" s="626">
        <v>6865647</v>
      </c>
      <c r="F19" s="622">
        <f t="shared" si="4"/>
        <v>6865647</v>
      </c>
      <c r="G19" s="626">
        <v>70200</v>
      </c>
      <c r="H19" s="626">
        <v>5270284</v>
      </c>
      <c r="I19" s="626">
        <v>64000</v>
      </c>
      <c r="J19" s="626">
        <v>72825</v>
      </c>
      <c r="K19" s="626">
        <v>0</v>
      </c>
      <c r="L19" s="626">
        <v>1388338</v>
      </c>
      <c r="M19" s="626">
        <v>0</v>
      </c>
      <c r="N19" s="622">
        <f t="shared" si="7"/>
        <v>0</v>
      </c>
      <c r="O19" s="626">
        <v>0</v>
      </c>
      <c r="P19" s="626">
        <v>0</v>
      </c>
      <c r="Q19" s="626">
        <v>0</v>
      </c>
      <c r="R19" s="543">
        <f t="shared" si="5"/>
        <v>1388338</v>
      </c>
      <c r="S19" s="624">
        <f t="shared" si="2"/>
        <v>79.77848263972791</v>
      </c>
      <c r="T19" s="423">
        <f t="shared" si="3"/>
        <v>0</v>
      </c>
    </row>
    <row r="20" spans="1:20" ht="16.5" customHeight="1">
      <c r="A20" s="379">
        <v>7</v>
      </c>
      <c r="B20" s="625" t="s">
        <v>654</v>
      </c>
      <c r="C20" s="622">
        <f t="shared" si="6"/>
        <v>12650501</v>
      </c>
      <c r="D20" s="626">
        <v>8745720</v>
      </c>
      <c r="E20" s="627">
        <v>3904781</v>
      </c>
      <c r="F20" s="622">
        <f t="shared" si="4"/>
        <v>12607158</v>
      </c>
      <c r="G20" s="626">
        <v>168597</v>
      </c>
      <c r="H20" s="626">
        <v>8273927</v>
      </c>
      <c r="I20" s="626">
        <v>1470492</v>
      </c>
      <c r="J20" s="626">
        <v>1161196</v>
      </c>
      <c r="K20" s="626">
        <v>0</v>
      </c>
      <c r="L20" s="626">
        <v>1532946</v>
      </c>
      <c r="M20" s="626">
        <v>0</v>
      </c>
      <c r="N20" s="622">
        <f t="shared" si="7"/>
        <v>43343</v>
      </c>
      <c r="O20" s="626">
        <v>43343</v>
      </c>
      <c r="P20" s="626">
        <v>0</v>
      </c>
      <c r="Q20" s="626">
        <v>0</v>
      </c>
      <c r="R20" s="543">
        <f t="shared" si="5"/>
        <v>1576289</v>
      </c>
      <c r="S20" s="624">
        <f t="shared" si="2"/>
        <v>87.84066956248189</v>
      </c>
      <c r="T20" s="423">
        <f t="shared" si="3"/>
        <v>0</v>
      </c>
    </row>
    <row r="21" spans="1:20" ht="16.5" customHeight="1">
      <c r="A21" s="379">
        <v>8</v>
      </c>
      <c r="B21" s="621" t="s">
        <v>399</v>
      </c>
      <c r="C21" s="622">
        <f t="shared" si="6"/>
        <v>15172013</v>
      </c>
      <c r="D21" s="626">
        <v>15111674</v>
      </c>
      <c r="E21" s="626">
        <v>60339</v>
      </c>
      <c r="F21" s="622">
        <f t="shared" si="4"/>
        <v>2457890</v>
      </c>
      <c r="G21" s="626">
        <v>400</v>
      </c>
      <c r="H21" s="626">
        <v>47471</v>
      </c>
      <c r="I21" s="626">
        <v>155200</v>
      </c>
      <c r="J21" s="626">
        <v>26817</v>
      </c>
      <c r="K21" s="626">
        <v>0</v>
      </c>
      <c r="L21" s="626">
        <v>2228002</v>
      </c>
      <c r="M21" s="626">
        <v>0</v>
      </c>
      <c r="N21" s="622">
        <f t="shared" si="7"/>
        <v>12714123</v>
      </c>
      <c r="O21" s="626">
        <v>9609462</v>
      </c>
      <c r="P21" s="626">
        <v>0</v>
      </c>
      <c r="Q21" s="626">
        <v>3104661</v>
      </c>
      <c r="R21" s="543">
        <f t="shared" si="5"/>
        <v>14942125</v>
      </c>
      <c r="S21" s="624">
        <f t="shared" si="2"/>
        <v>9.353062993055019</v>
      </c>
      <c r="T21" s="423">
        <f t="shared" si="3"/>
        <v>0</v>
      </c>
    </row>
    <row r="22" spans="1:20" ht="19.5" customHeight="1">
      <c r="A22" s="379">
        <v>9</v>
      </c>
      <c r="B22" s="628" t="s">
        <v>645</v>
      </c>
      <c r="C22" s="622">
        <f>D22+E22</f>
        <v>7860605</v>
      </c>
      <c r="D22" s="623">
        <v>773490</v>
      </c>
      <c r="E22" s="623">
        <v>7087115</v>
      </c>
      <c r="F22" s="622">
        <f>G22+H22+I22+J22+K22+L22+M22</f>
        <v>7490684</v>
      </c>
      <c r="G22" s="623">
        <v>13725</v>
      </c>
      <c r="H22" s="623">
        <v>694821</v>
      </c>
      <c r="I22" s="623">
        <v>10336</v>
      </c>
      <c r="J22" s="623">
        <v>5297342</v>
      </c>
      <c r="K22" s="623">
        <v>0</v>
      </c>
      <c r="L22" s="623">
        <v>1474460</v>
      </c>
      <c r="M22" s="623">
        <v>0</v>
      </c>
      <c r="N22" s="622">
        <f>O22+P22+Q22</f>
        <v>369921</v>
      </c>
      <c r="O22" s="623">
        <v>369921</v>
      </c>
      <c r="P22" s="623">
        <v>0</v>
      </c>
      <c r="Q22" s="623">
        <v>0</v>
      </c>
      <c r="R22" s="543">
        <f t="shared" si="5"/>
        <v>1844381</v>
      </c>
      <c r="S22" s="624">
        <f t="shared" si="2"/>
        <v>80.31608328425014</v>
      </c>
      <c r="T22" s="423">
        <f t="shared" si="3"/>
        <v>0</v>
      </c>
    </row>
    <row r="23" spans="1:20" ht="15.75" customHeight="1" thickBot="1">
      <c r="A23" s="223">
        <v>10</v>
      </c>
      <c r="B23" s="629" t="s">
        <v>655</v>
      </c>
      <c r="C23" s="630">
        <f t="shared" si="6"/>
        <v>2685922</v>
      </c>
      <c r="D23" s="631">
        <v>0</v>
      </c>
      <c r="E23" s="631">
        <v>2685922</v>
      </c>
      <c r="F23" s="630">
        <f t="shared" si="4"/>
        <v>2685922</v>
      </c>
      <c r="G23" s="631">
        <v>0</v>
      </c>
      <c r="H23" s="631">
        <v>1907332</v>
      </c>
      <c r="I23" s="631">
        <v>0</v>
      </c>
      <c r="J23" s="631">
        <v>0</v>
      </c>
      <c r="K23" s="631">
        <v>0</v>
      </c>
      <c r="L23" s="631">
        <v>778590</v>
      </c>
      <c r="M23" s="631">
        <v>0</v>
      </c>
      <c r="N23" s="630">
        <f t="shared" si="7"/>
        <v>0</v>
      </c>
      <c r="O23" s="631">
        <v>0</v>
      </c>
      <c r="P23" s="631">
        <v>0</v>
      </c>
      <c r="Q23" s="631">
        <v>0</v>
      </c>
      <c r="R23" s="547">
        <f t="shared" si="5"/>
        <v>778590</v>
      </c>
      <c r="S23" s="632">
        <f t="shared" si="2"/>
        <v>71.01218873816887</v>
      </c>
      <c r="T23" s="423">
        <f t="shared" si="3"/>
        <v>0</v>
      </c>
    </row>
    <row r="24" spans="1:20" ht="22.5" customHeight="1" thickTop="1">
      <c r="A24" s="548" t="s">
        <v>15</v>
      </c>
      <c r="B24" s="549" t="s">
        <v>361</v>
      </c>
      <c r="C24" s="550">
        <f aca="true" t="shared" si="8" ref="C24:R24">C25+C36+C41+C48+C54+C58+C61+C67+C72+C76</f>
        <v>1068703073</v>
      </c>
      <c r="D24" s="550">
        <f t="shared" si="8"/>
        <v>495609426</v>
      </c>
      <c r="E24" s="550">
        <f t="shared" si="8"/>
        <v>573093647</v>
      </c>
      <c r="F24" s="550">
        <f t="shared" si="8"/>
        <v>681920030</v>
      </c>
      <c r="G24" s="550">
        <f t="shared" si="8"/>
        <v>3569184</v>
      </c>
      <c r="H24" s="550">
        <f t="shared" si="8"/>
        <v>89081372</v>
      </c>
      <c r="I24" s="550">
        <f t="shared" si="8"/>
        <v>41787071</v>
      </c>
      <c r="J24" s="550">
        <f t="shared" si="8"/>
        <v>37820060</v>
      </c>
      <c r="K24" s="550">
        <f t="shared" si="8"/>
        <v>20888</v>
      </c>
      <c r="L24" s="550">
        <f t="shared" si="8"/>
        <v>443266999</v>
      </c>
      <c r="M24" s="550">
        <f t="shared" si="8"/>
        <v>66374456</v>
      </c>
      <c r="N24" s="550">
        <f t="shared" si="8"/>
        <v>386783043</v>
      </c>
      <c r="O24" s="550">
        <f t="shared" si="8"/>
        <v>29047135</v>
      </c>
      <c r="P24" s="550">
        <f t="shared" si="8"/>
        <v>2972920</v>
      </c>
      <c r="Q24" s="550">
        <f t="shared" si="8"/>
        <v>354762988</v>
      </c>
      <c r="R24" s="550">
        <f t="shared" si="8"/>
        <v>896424498</v>
      </c>
      <c r="S24" s="551">
        <f>(G24+H24+I24+J24+K24)*100/F24</f>
        <v>25.263750501653398</v>
      </c>
      <c r="T24" s="423">
        <f t="shared" si="3"/>
        <v>0</v>
      </c>
    </row>
    <row r="25" spans="1:20" ht="20.25" customHeight="1">
      <c r="A25" s="545">
        <v>1</v>
      </c>
      <c r="B25" s="546" t="s">
        <v>400</v>
      </c>
      <c r="C25" s="543">
        <f>SUM(C26:C35)</f>
        <v>549262590</v>
      </c>
      <c r="D25" s="543">
        <f aca="true" t="shared" si="9" ref="D25:R25">SUM(D26:D35)</f>
        <v>242674156</v>
      </c>
      <c r="E25" s="543">
        <f t="shared" si="9"/>
        <v>306588434</v>
      </c>
      <c r="F25" s="543">
        <f t="shared" si="9"/>
        <v>273445002</v>
      </c>
      <c r="G25" s="543">
        <f t="shared" si="9"/>
        <v>147668</v>
      </c>
      <c r="H25" s="543">
        <f t="shared" si="9"/>
        <v>35126443</v>
      </c>
      <c r="I25" s="543">
        <f t="shared" si="9"/>
        <v>20385664</v>
      </c>
      <c r="J25" s="543">
        <f t="shared" si="9"/>
        <v>7071552</v>
      </c>
      <c r="K25" s="543">
        <f t="shared" si="9"/>
        <v>17902</v>
      </c>
      <c r="L25" s="543">
        <f t="shared" si="9"/>
        <v>203093731</v>
      </c>
      <c r="M25" s="543">
        <f t="shared" si="9"/>
        <v>7602042</v>
      </c>
      <c r="N25" s="543">
        <f t="shared" si="9"/>
        <v>275817588</v>
      </c>
      <c r="O25" s="543">
        <f t="shared" si="9"/>
        <v>13465734</v>
      </c>
      <c r="P25" s="543">
        <f t="shared" si="9"/>
        <v>2959500</v>
      </c>
      <c r="Q25" s="543">
        <f t="shared" si="9"/>
        <v>259392354</v>
      </c>
      <c r="R25" s="543">
        <f t="shared" si="9"/>
        <v>486513361</v>
      </c>
      <c r="S25" s="551">
        <f aca="true" t="shared" si="10" ref="S25:S35">(G25+H25+I25+J25+K25)*100/F25</f>
        <v>22.947659873483445</v>
      </c>
      <c r="T25" s="423">
        <f t="shared" si="3"/>
        <v>0</v>
      </c>
    </row>
    <row r="26" spans="1:22" ht="17.25" customHeight="1">
      <c r="A26" s="379">
        <v>1.1</v>
      </c>
      <c r="B26" s="463" t="s">
        <v>401</v>
      </c>
      <c r="C26" s="543">
        <f>D26+E26</f>
        <v>20181147</v>
      </c>
      <c r="D26" s="633">
        <v>20087128</v>
      </c>
      <c r="E26" s="633">
        <v>94019</v>
      </c>
      <c r="F26" s="543">
        <f>G26+H26+I26+J26+K26+L26+M26</f>
        <v>6694540</v>
      </c>
      <c r="G26" s="633">
        <v>0</v>
      </c>
      <c r="H26" s="633">
        <v>763870</v>
      </c>
      <c r="I26" s="633">
        <v>3295386</v>
      </c>
      <c r="J26" s="633">
        <v>36099</v>
      </c>
      <c r="K26" s="633">
        <v>0</v>
      </c>
      <c r="L26" s="634">
        <v>2599185</v>
      </c>
      <c r="M26" s="634">
        <v>0</v>
      </c>
      <c r="N26" s="543">
        <f>O26+P26+Q26</f>
        <v>13486607</v>
      </c>
      <c r="O26" s="635">
        <v>10312366</v>
      </c>
      <c r="P26" s="635">
        <v>0</v>
      </c>
      <c r="Q26" s="635">
        <v>3174241</v>
      </c>
      <c r="R26" s="543">
        <f>Q26+P26+O26+M26+L26</f>
        <v>16085792</v>
      </c>
      <c r="S26" s="552">
        <f t="shared" si="10"/>
        <v>61.17455418893606</v>
      </c>
      <c r="T26" s="423">
        <f t="shared" si="3"/>
        <v>0</v>
      </c>
      <c r="V26" s="431">
        <f>H12-'[1]Mẫu BC tiền theo CHV Mẫu 07'!$H$12</f>
        <v>102745496</v>
      </c>
    </row>
    <row r="27" spans="1:20" ht="16.5" customHeight="1">
      <c r="A27" s="379">
        <v>1.2</v>
      </c>
      <c r="B27" s="462" t="s">
        <v>402</v>
      </c>
      <c r="C27" s="543">
        <f aca="true" t="shared" si="11" ref="C27:C35">D27+E27</f>
        <v>21300614</v>
      </c>
      <c r="D27" s="633">
        <v>19744844</v>
      </c>
      <c r="E27" s="633">
        <v>1555770</v>
      </c>
      <c r="F27" s="543">
        <f aca="true" t="shared" si="12" ref="F27:F35">G27+H27+I27+J27+K27+L27+M27</f>
        <v>18246689</v>
      </c>
      <c r="G27" s="633">
        <v>22550</v>
      </c>
      <c r="H27" s="633">
        <v>1762327</v>
      </c>
      <c r="I27" s="633">
        <v>6368282</v>
      </c>
      <c r="J27" s="633">
        <v>591226</v>
      </c>
      <c r="K27" s="633">
        <v>0</v>
      </c>
      <c r="L27" s="634">
        <v>7946428</v>
      </c>
      <c r="M27" s="634">
        <v>1555876</v>
      </c>
      <c r="N27" s="543">
        <f aca="true" t="shared" si="13" ref="N27:N35">O27+P27+Q27</f>
        <v>3053925</v>
      </c>
      <c r="O27" s="635">
        <v>580609</v>
      </c>
      <c r="P27" s="635">
        <v>50008</v>
      </c>
      <c r="Q27" s="635">
        <v>2423308</v>
      </c>
      <c r="R27" s="543">
        <f aca="true" t="shared" si="14" ref="R27:R35">Q27+P27+O27+M27+L27</f>
        <v>12556229</v>
      </c>
      <c r="S27" s="552">
        <f t="shared" si="10"/>
        <v>47.923132794119525</v>
      </c>
      <c r="T27" s="423">
        <f t="shared" si="3"/>
        <v>0</v>
      </c>
    </row>
    <row r="28" spans="1:20" ht="18.75" customHeight="1">
      <c r="A28" s="379">
        <v>1.3</v>
      </c>
      <c r="B28" s="463" t="s">
        <v>403</v>
      </c>
      <c r="C28" s="543">
        <f t="shared" si="11"/>
        <v>237583698</v>
      </c>
      <c r="D28" s="633">
        <v>31905285</v>
      </c>
      <c r="E28" s="633">
        <v>205678413</v>
      </c>
      <c r="F28" s="543">
        <f t="shared" si="12"/>
        <v>33714370</v>
      </c>
      <c r="G28" s="633">
        <v>6856</v>
      </c>
      <c r="H28" s="633">
        <v>1739215</v>
      </c>
      <c r="I28" s="633">
        <v>1212393</v>
      </c>
      <c r="J28" s="633">
        <v>80518</v>
      </c>
      <c r="K28" s="633">
        <v>2680</v>
      </c>
      <c r="L28" s="634">
        <v>24925313</v>
      </c>
      <c r="M28" s="634">
        <v>5747395</v>
      </c>
      <c r="N28" s="543">
        <f t="shared" si="13"/>
        <v>203869328</v>
      </c>
      <c r="O28" s="635">
        <v>181924</v>
      </c>
      <c r="P28" s="635">
        <v>0</v>
      </c>
      <c r="Q28" s="635">
        <v>203687404</v>
      </c>
      <c r="R28" s="543">
        <f t="shared" si="14"/>
        <v>234542036</v>
      </c>
      <c r="S28" s="552">
        <f t="shared" si="10"/>
        <v>9.021856258918675</v>
      </c>
      <c r="T28" s="423">
        <f t="shared" si="3"/>
        <v>0</v>
      </c>
    </row>
    <row r="29" spans="1:22" ht="17.25" customHeight="1">
      <c r="A29" s="379">
        <v>1.4</v>
      </c>
      <c r="B29" s="636" t="s">
        <v>404</v>
      </c>
      <c r="C29" s="543">
        <f t="shared" si="11"/>
        <v>13847871</v>
      </c>
      <c r="D29" s="633">
        <v>8786353</v>
      </c>
      <c r="E29" s="633">
        <v>5061518</v>
      </c>
      <c r="F29" s="543">
        <f t="shared" si="12"/>
        <v>8269862</v>
      </c>
      <c r="G29" s="633">
        <v>47697</v>
      </c>
      <c r="H29" s="633">
        <v>1314043</v>
      </c>
      <c r="I29" s="633">
        <v>549127</v>
      </c>
      <c r="J29" s="633">
        <v>542768</v>
      </c>
      <c r="K29" s="633">
        <v>14972</v>
      </c>
      <c r="L29" s="634">
        <v>5801255</v>
      </c>
      <c r="M29" s="634">
        <v>0</v>
      </c>
      <c r="N29" s="543">
        <f t="shared" si="13"/>
        <v>5578009</v>
      </c>
      <c r="O29" s="635">
        <v>749190</v>
      </c>
      <c r="P29" s="635">
        <v>0</v>
      </c>
      <c r="Q29" s="635">
        <v>4828819</v>
      </c>
      <c r="R29" s="543">
        <f t="shared" si="14"/>
        <v>11379264</v>
      </c>
      <c r="S29" s="552">
        <f t="shared" si="10"/>
        <v>29.850643215086297</v>
      </c>
      <c r="T29" s="423">
        <f t="shared" si="3"/>
        <v>0</v>
      </c>
      <c r="V29" s="431">
        <f>F12-'[1]Mẫu BC tiền theo CHV Mẫu 07'!$F$12</f>
        <v>430754725</v>
      </c>
    </row>
    <row r="30" spans="1:20" ht="20.25" customHeight="1">
      <c r="A30" s="379">
        <v>1.5</v>
      </c>
      <c r="B30" s="621" t="s">
        <v>405</v>
      </c>
      <c r="C30" s="543">
        <f t="shared" si="11"/>
        <v>30086129</v>
      </c>
      <c r="D30" s="633">
        <v>28668223</v>
      </c>
      <c r="E30" s="633">
        <v>1417906</v>
      </c>
      <c r="F30" s="543">
        <f t="shared" si="12"/>
        <v>21131129</v>
      </c>
      <c r="G30" s="633">
        <v>0</v>
      </c>
      <c r="H30" s="633">
        <v>8509029</v>
      </c>
      <c r="I30" s="633">
        <v>7272599</v>
      </c>
      <c r="J30" s="633">
        <v>451544</v>
      </c>
      <c r="K30" s="633">
        <v>0</v>
      </c>
      <c r="L30" s="634">
        <v>4897117</v>
      </c>
      <c r="M30" s="634">
        <v>840</v>
      </c>
      <c r="N30" s="543">
        <f t="shared" si="13"/>
        <v>8955000</v>
      </c>
      <c r="O30" s="635">
        <v>242764</v>
      </c>
      <c r="P30" s="635">
        <v>0</v>
      </c>
      <c r="Q30" s="635">
        <v>8712236</v>
      </c>
      <c r="R30" s="543">
        <f t="shared" si="14"/>
        <v>13852957</v>
      </c>
      <c r="S30" s="552">
        <f t="shared" si="10"/>
        <v>76.82112962350473</v>
      </c>
      <c r="T30" s="423">
        <f t="shared" si="3"/>
        <v>0</v>
      </c>
    </row>
    <row r="31" spans="1:20" ht="16.5" customHeight="1">
      <c r="A31" s="379">
        <v>1.6</v>
      </c>
      <c r="B31" s="636" t="s">
        <v>406</v>
      </c>
      <c r="C31" s="543">
        <f t="shared" si="11"/>
        <v>62176483</v>
      </c>
      <c r="D31" s="633">
        <v>29528417</v>
      </c>
      <c r="E31" s="633">
        <v>32648066</v>
      </c>
      <c r="F31" s="543">
        <f t="shared" si="12"/>
        <v>41391174</v>
      </c>
      <c r="G31" s="633">
        <v>0</v>
      </c>
      <c r="H31" s="633">
        <v>5578564</v>
      </c>
      <c r="I31" s="633">
        <v>1531268</v>
      </c>
      <c r="J31" s="633">
        <v>521391</v>
      </c>
      <c r="K31" s="633">
        <v>250</v>
      </c>
      <c r="L31" s="634">
        <v>33759501</v>
      </c>
      <c r="M31" s="634">
        <v>200</v>
      </c>
      <c r="N31" s="543">
        <f t="shared" si="13"/>
        <v>20785309</v>
      </c>
      <c r="O31" s="635">
        <v>439265</v>
      </c>
      <c r="P31" s="635">
        <v>2877354</v>
      </c>
      <c r="Q31" s="635">
        <v>17468690</v>
      </c>
      <c r="R31" s="543">
        <f t="shared" si="14"/>
        <v>54545010</v>
      </c>
      <c r="S31" s="552">
        <f t="shared" si="10"/>
        <v>18.437440310342488</v>
      </c>
      <c r="T31" s="423">
        <f t="shared" si="3"/>
        <v>0</v>
      </c>
    </row>
    <row r="32" spans="1:20" ht="18.75" customHeight="1">
      <c r="A32" s="379">
        <v>1.7</v>
      </c>
      <c r="B32" s="621" t="s">
        <v>407</v>
      </c>
      <c r="C32" s="543">
        <f t="shared" si="11"/>
        <v>109439585</v>
      </c>
      <c r="D32" s="633">
        <v>84154895</v>
      </c>
      <c r="E32" s="633">
        <v>25284690</v>
      </c>
      <c r="F32" s="543">
        <f t="shared" si="12"/>
        <v>106283857</v>
      </c>
      <c r="G32" s="633">
        <v>1400</v>
      </c>
      <c r="H32" s="633">
        <v>5075984</v>
      </c>
      <c r="I32" s="633">
        <v>121376</v>
      </c>
      <c r="J32" s="633">
        <v>678875</v>
      </c>
      <c r="K32" s="633">
        <v>0</v>
      </c>
      <c r="L32" s="634">
        <v>100406222</v>
      </c>
      <c r="M32" s="634">
        <v>0</v>
      </c>
      <c r="N32" s="543">
        <f t="shared" si="13"/>
        <v>3155728</v>
      </c>
      <c r="O32" s="635">
        <v>31944</v>
      </c>
      <c r="P32" s="635">
        <v>32138</v>
      </c>
      <c r="Q32" s="635">
        <v>3091646</v>
      </c>
      <c r="R32" s="543">
        <f t="shared" si="14"/>
        <v>103561950</v>
      </c>
      <c r="S32" s="552">
        <f t="shared" si="10"/>
        <v>5.530129566148507</v>
      </c>
      <c r="T32" s="423">
        <f t="shared" si="3"/>
        <v>0</v>
      </c>
    </row>
    <row r="33" spans="1:20" ht="18" customHeight="1">
      <c r="A33" s="379">
        <v>1.8</v>
      </c>
      <c r="B33" s="621" t="s">
        <v>408</v>
      </c>
      <c r="C33" s="543">
        <f t="shared" si="11"/>
        <v>29097891</v>
      </c>
      <c r="D33" s="633">
        <v>14096366</v>
      </c>
      <c r="E33" s="633">
        <v>15001525</v>
      </c>
      <c r="F33" s="543">
        <f t="shared" si="12"/>
        <v>28998902</v>
      </c>
      <c r="G33" s="633">
        <v>65315</v>
      </c>
      <c r="H33" s="633">
        <v>7969383</v>
      </c>
      <c r="I33" s="633">
        <v>700</v>
      </c>
      <c r="J33" s="633">
        <v>267300</v>
      </c>
      <c r="K33" s="633">
        <v>0</v>
      </c>
      <c r="L33" s="634">
        <v>20401573</v>
      </c>
      <c r="M33" s="634">
        <v>294631</v>
      </c>
      <c r="N33" s="543">
        <f t="shared" si="13"/>
        <v>98989</v>
      </c>
      <c r="O33" s="635">
        <v>98989</v>
      </c>
      <c r="P33" s="635">
        <v>0</v>
      </c>
      <c r="Q33" s="635">
        <v>0</v>
      </c>
      <c r="R33" s="543">
        <f t="shared" si="14"/>
        <v>20795193</v>
      </c>
      <c r="S33" s="552">
        <f t="shared" si="10"/>
        <v>28.63107713526533</v>
      </c>
      <c r="T33" s="423">
        <f t="shared" si="3"/>
        <v>0</v>
      </c>
    </row>
    <row r="34" spans="1:20" ht="19.5" customHeight="1">
      <c r="A34" s="379">
        <v>1.9</v>
      </c>
      <c r="B34" s="621" t="s">
        <v>409</v>
      </c>
      <c r="C34" s="543">
        <f>D34+E34</f>
        <v>22119058</v>
      </c>
      <c r="D34" s="633">
        <v>5702645</v>
      </c>
      <c r="E34" s="633">
        <v>16416413</v>
      </c>
      <c r="F34" s="543">
        <f>G34+H34+I34+J34+K34+L34+M34</f>
        <v>5365152</v>
      </c>
      <c r="G34" s="633">
        <v>3100</v>
      </c>
      <c r="H34" s="633">
        <v>2316394</v>
      </c>
      <c r="I34" s="633">
        <v>34533</v>
      </c>
      <c r="J34" s="633">
        <v>1462471</v>
      </c>
      <c r="K34" s="633">
        <v>0</v>
      </c>
      <c r="L34" s="634">
        <v>1548654</v>
      </c>
      <c r="M34" s="634">
        <v>0</v>
      </c>
      <c r="N34" s="543">
        <f>O34+P34+Q34</f>
        <v>16753906</v>
      </c>
      <c r="O34" s="635">
        <v>747896</v>
      </c>
      <c r="P34" s="635">
        <v>0</v>
      </c>
      <c r="Q34" s="635">
        <v>16006010</v>
      </c>
      <c r="R34" s="543">
        <f>Q34+P34+O34+M34+L34</f>
        <v>18302560</v>
      </c>
      <c r="S34" s="637">
        <f>(G34+H34+I34+J34+K34)*100/F34</f>
        <v>71.13494640971962</v>
      </c>
      <c r="T34" s="423">
        <f t="shared" si="3"/>
        <v>0</v>
      </c>
    </row>
    <row r="35" spans="1:20" ht="19.5" customHeight="1" thickBot="1">
      <c r="A35" s="553">
        <v>1.1</v>
      </c>
      <c r="B35" s="638" t="s">
        <v>732</v>
      </c>
      <c r="C35" s="639">
        <f t="shared" si="11"/>
        <v>3430114</v>
      </c>
      <c r="D35" s="640">
        <v>0</v>
      </c>
      <c r="E35" s="640">
        <v>3430114</v>
      </c>
      <c r="F35" s="639">
        <f t="shared" si="12"/>
        <v>3349327</v>
      </c>
      <c r="G35" s="640">
        <v>750</v>
      </c>
      <c r="H35" s="640">
        <v>97634</v>
      </c>
      <c r="I35" s="640">
        <v>0</v>
      </c>
      <c r="J35" s="640">
        <v>2439360</v>
      </c>
      <c r="K35" s="640">
        <v>0</v>
      </c>
      <c r="L35" s="641">
        <v>808483</v>
      </c>
      <c r="M35" s="641">
        <v>3100</v>
      </c>
      <c r="N35" s="639">
        <f t="shared" si="13"/>
        <v>80787</v>
      </c>
      <c r="O35" s="642">
        <v>80787</v>
      </c>
      <c r="P35" s="642">
        <v>0</v>
      </c>
      <c r="Q35" s="642">
        <v>0</v>
      </c>
      <c r="R35" s="639">
        <f t="shared" si="14"/>
        <v>892370</v>
      </c>
      <c r="S35" s="643">
        <f t="shared" si="10"/>
        <v>75.7687738462085</v>
      </c>
      <c r="T35" s="423">
        <f t="shared" si="3"/>
        <v>0</v>
      </c>
    </row>
    <row r="36" spans="1:20" ht="16.5" customHeight="1" thickTop="1">
      <c r="A36" s="548">
        <v>2</v>
      </c>
      <c r="B36" s="549" t="s">
        <v>410</v>
      </c>
      <c r="C36" s="550">
        <f>SUM(C37:C40)</f>
        <v>86443802</v>
      </c>
      <c r="D36" s="550">
        <f aca="true" t="shared" si="15" ref="D36:R36">SUM(D37:D40)</f>
        <v>22778452</v>
      </c>
      <c r="E36" s="550">
        <f t="shared" si="15"/>
        <v>63665350</v>
      </c>
      <c r="F36" s="550">
        <f t="shared" si="15"/>
        <v>68777598</v>
      </c>
      <c r="G36" s="550">
        <f t="shared" si="15"/>
        <v>7180</v>
      </c>
      <c r="H36" s="550">
        <f t="shared" si="15"/>
        <v>4087176</v>
      </c>
      <c r="I36" s="550">
        <f t="shared" si="15"/>
        <v>1321421</v>
      </c>
      <c r="J36" s="550">
        <f t="shared" si="15"/>
        <v>3682604</v>
      </c>
      <c r="K36" s="550">
        <f t="shared" si="15"/>
        <v>0</v>
      </c>
      <c r="L36" s="550">
        <f t="shared" si="15"/>
        <v>59679217</v>
      </c>
      <c r="M36" s="550">
        <f t="shared" si="15"/>
        <v>0</v>
      </c>
      <c r="N36" s="550">
        <f t="shared" si="15"/>
        <v>17666204</v>
      </c>
      <c r="O36" s="550">
        <f t="shared" si="15"/>
        <v>1346620</v>
      </c>
      <c r="P36" s="550">
        <f t="shared" si="15"/>
        <v>0</v>
      </c>
      <c r="Q36" s="550">
        <f t="shared" si="15"/>
        <v>16319584</v>
      </c>
      <c r="R36" s="550">
        <f t="shared" si="15"/>
        <v>77345421</v>
      </c>
      <c r="S36" s="551">
        <f>(G36+H36+I36+J36+K36)*100/F36</f>
        <v>13.228698391008072</v>
      </c>
      <c r="T36" s="423">
        <f t="shared" si="3"/>
        <v>0</v>
      </c>
    </row>
    <row r="37" spans="1:20" ht="15" customHeight="1">
      <c r="A37" s="379">
        <v>2.1</v>
      </c>
      <c r="B37" s="462" t="s">
        <v>411</v>
      </c>
      <c r="C37" s="543">
        <f>D37+E37</f>
        <v>8835289</v>
      </c>
      <c r="D37" s="456">
        <v>3963295</v>
      </c>
      <c r="E37" s="458">
        <v>4871994</v>
      </c>
      <c r="F37" s="543">
        <f>G37+H37+I37+J37+K37+L37+M37</f>
        <v>5637653</v>
      </c>
      <c r="G37" s="458">
        <v>5180</v>
      </c>
      <c r="H37" s="458">
        <v>124670</v>
      </c>
      <c r="I37" s="458">
        <v>733895</v>
      </c>
      <c r="J37" s="458">
        <v>219392</v>
      </c>
      <c r="K37" s="458">
        <v>0</v>
      </c>
      <c r="L37" s="458">
        <v>4554516</v>
      </c>
      <c r="M37" s="458">
        <v>0</v>
      </c>
      <c r="N37" s="543">
        <f>O37+P37+Q37</f>
        <v>3197636</v>
      </c>
      <c r="O37" s="458">
        <v>366886</v>
      </c>
      <c r="P37" s="458">
        <v>0</v>
      </c>
      <c r="Q37" s="458">
        <v>2830750</v>
      </c>
      <c r="R37" s="543">
        <f>Q37+P37+O37+M37+L37</f>
        <v>7752152</v>
      </c>
      <c r="S37" s="552">
        <f>(G37+H37+I37+J37+K37)*100/F37</f>
        <v>19.21255174804125</v>
      </c>
      <c r="T37" s="423">
        <f t="shared" si="3"/>
        <v>0</v>
      </c>
    </row>
    <row r="38" spans="1:20" ht="15" customHeight="1">
      <c r="A38" s="379">
        <v>2.2</v>
      </c>
      <c r="B38" s="463" t="s">
        <v>412</v>
      </c>
      <c r="C38" s="543">
        <f>D38+E38</f>
        <v>55549268</v>
      </c>
      <c r="D38" s="456">
        <v>8291629</v>
      </c>
      <c r="E38" s="458">
        <v>47257639</v>
      </c>
      <c r="F38" s="543">
        <f>G38+H38+I38+J38+K38+L38+M38</f>
        <v>48179706</v>
      </c>
      <c r="G38" s="458">
        <v>0</v>
      </c>
      <c r="H38" s="458">
        <v>1351606</v>
      </c>
      <c r="I38" s="458">
        <v>303000</v>
      </c>
      <c r="J38" s="458">
        <v>1913115</v>
      </c>
      <c r="K38" s="458">
        <v>0</v>
      </c>
      <c r="L38" s="458">
        <v>44611985</v>
      </c>
      <c r="M38" s="458">
        <v>0</v>
      </c>
      <c r="N38" s="543">
        <f>O38+P38+Q38</f>
        <v>7369562</v>
      </c>
      <c r="O38" s="458">
        <v>377326</v>
      </c>
      <c r="P38" s="458">
        <v>0</v>
      </c>
      <c r="Q38" s="458">
        <v>6992236</v>
      </c>
      <c r="R38" s="543">
        <f>Q38+P38+O38+M38+L38</f>
        <v>51981547</v>
      </c>
      <c r="S38" s="552">
        <f>(G38+H38+I38+J38+K38)*100/F38</f>
        <v>7.405028581951081</v>
      </c>
      <c r="T38" s="423">
        <f t="shared" si="3"/>
        <v>0</v>
      </c>
    </row>
    <row r="39" spans="1:20" ht="18.75" customHeight="1">
      <c r="A39" s="379">
        <v>2.3</v>
      </c>
      <c r="B39" s="554" t="s">
        <v>413</v>
      </c>
      <c r="C39" s="555">
        <f>D39+E39</f>
        <v>18229553</v>
      </c>
      <c r="D39" s="459">
        <v>8099522</v>
      </c>
      <c r="E39" s="460">
        <v>10130031</v>
      </c>
      <c r="F39" s="555">
        <f>G39+H39+I39+J39+K39+L39+M39</f>
        <v>11136160</v>
      </c>
      <c r="G39" s="460">
        <v>600</v>
      </c>
      <c r="H39" s="460">
        <v>2531048</v>
      </c>
      <c r="I39" s="460">
        <v>230876</v>
      </c>
      <c r="J39" s="460">
        <v>1484487</v>
      </c>
      <c r="K39" s="460">
        <v>0</v>
      </c>
      <c r="L39" s="460">
        <v>6889149</v>
      </c>
      <c r="M39" s="460">
        <v>0</v>
      </c>
      <c r="N39" s="555">
        <f>O39+P39+Q39</f>
        <v>7093393</v>
      </c>
      <c r="O39" s="460">
        <v>596795</v>
      </c>
      <c r="P39" s="460">
        <v>0</v>
      </c>
      <c r="Q39" s="460">
        <v>6496598</v>
      </c>
      <c r="R39" s="555">
        <f>Q39+P39+O39+M39+L39</f>
        <v>13982542</v>
      </c>
      <c r="S39" s="556">
        <f>(G39+H39+I39+J39+K39)*100/F39</f>
        <v>38.13712267065129</v>
      </c>
      <c r="T39" s="423">
        <f t="shared" si="3"/>
        <v>0</v>
      </c>
    </row>
    <row r="40" spans="1:20" ht="16.5" customHeight="1" thickBot="1">
      <c r="A40" s="223">
        <v>2.4</v>
      </c>
      <c r="B40" s="557" t="s">
        <v>649</v>
      </c>
      <c r="C40" s="547">
        <f>D40+E40</f>
        <v>3829692</v>
      </c>
      <c r="D40" s="457">
        <v>2424006</v>
      </c>
      <c r="E40" s="461">
        <v>1405686</v>
      </c>
      <c r="F40" s="547">
        <f>G40+H40+I40+J40+K40+L40+M40</f>
        <v>3824079</v>
      </c>
      <c r="G40" s="461">
        <v>1400</v>
      </c>
      <c r="H40" s="461">
        <v>79852</v>
      </c>
      <c r="I40" s="461">
        <v>53650</v>
      </c>
      <c r="J40" s="461">
        <v>65610</v>
      </c>
      <c r="K40" s="461">
        <v>0</v>
      </c>
      <c r="L40" s="461">
        <v>3623567</v>
      </c>
      <c r="M40" s="461">
        <v>0</v>
      </c>
      <c r="N40" s="547">
        <f>O40+P40+Q40</f>
        <v>5613</v>
      </c>
      <c r="O40" s="461">
        <v>5613</v>
      </c>
      <c r="P40" s="461">
        <v>0</v>
      </c>
      <c r="Q40" s="461">
        <v>0</v>
      </c>
      <c r="R40" s="547">
        <f>Q40+P40+O40+M40+L40</f>
        <v>3629180</v>
      </c>
      <c r="S40" s="558">
        <f>(G40+H40+I40+J40+K40)*100/F40</f>
        <v>5.2434063208422215</v>
      </c>
      <c r="T40" s="423">
        <f>N39+F39-C39</f>
        <v>0</v>
      </c>
    </row>
    <row r="41" spans="1:20" ht="15.75" customHeight="1" thickTop="1">
      <c r="A41" s="548">
        <v>3</v>
      </c>
      <c r="B41" s="549" t="s">
        <v>414</v>
      </c>
      <c r="C41" s="550">
        <f>SUM(C42:C47)</f>
        <v>65550426</v>
      </c>
      <c r="D41" s="550">
        <f aca="true" t="shared" si="16" ref="D41:R41">SUM(D42:D47)</f>
        <v>24437880</v>
      </c>
      <c r="E41" s="550">
        <f t="shared" si="16"/>
        <v>41112546</v>
      </c>
      <c r="F41" s="550">
        <f t="shared" si="16"/>
        <v>54913360</v>
      </c>
      <c r="G41" s="550">
        <f t="shared" si="16"/>
        <v>670626</v>
      </c>
      <c r="H41" s="550">
        <f t="shared" si="16"/>
        <v>8585770</v>
      </c>
      <c r="I41" s="550">
        <f t="shared" si="16"/>
        <v>8014122</v>
      </c>
      <c r="J41" s="550">
        <f t="shared" si="16"/>
        <v>7761610</v>
      </c>
      <c r="K41" s="550">
        <f t="shared" si="16"/>
        <v>0</v>
      </c>
      <c r="L41" s="550">
        <f t="shared" si="16"/>
        <v>18299914</v>
      </c>
      <c r="M41" s="550">
        <f t="shared" si="16"/>
        <v>11581318</v>
      </c>
      <c r="N41" s="550">
        <f t="shared" si="16"/>
        <v>10637066</v>
      </c>
      <c r="O41" s="550">
        <f t="shared" si="16"/>
        <v>3821061</v>
      </c>
      <c r="P41" s="550">
        <f t="shared" si="16"/>
        <v>13420</v>
      </c>
      <c r="Q41" s="550">
        <f t="shared" si="16"/>
        <v>6802585</v>
      </c>
      <c r="R41" s="550">
        <f t="shared" si="16"/>
        <v>40518298</v>
      </c>
      <c r="S41" s="551">
        <f aca="true" t="shared" si="17" ref="S41:S78">(G41+H41+I41+J41+K41)*100/F41</f>
        <v>45.58476844250652</v>
      </c>
      <c r="T41" s="423">
        <f t="shared" si="3"/>
        <v>0</v>
      </c>
    </row>
    <row r="42" spans="1:20" ht="15.75" customHeight="1">
      <c r="A42" s="379">
        <v>3.1</v>
      </c>
      <c r="B42" s="462" t="s">
        <v>415</v>
      </c>
      <c r="C42" s="543">
        <f aca="true" t="shared" si="18" ref="C42:C47">D42+E42</f>
        <v>16580534</v>
      </c>
      <c r="D42" s="456">
        <v>3881526</v>
      </c>
      <c r="E42" s="456">
        <v>12699008</v>
      </c>
      <c r="F42" s="543">
        <f aca="true" t="shared" si="19" ref="F42:F47">G42+H42+I42+J42+K42+L42+M42</f>
        <v>11221595</v>
      </c>
      <c r="G42" s="456">
        <v>648731</v>
      </c>
      <c r="H42" s="456">
        <v>4247395</v>
      </c>
      <c r="I42" s="456">
        <v>1792931</v>
      </c>
      <c r="J42" s="456">
        <v>2349646</v>
      </c>
      <c r="K42" s="456">
        <v>0</v>
      </c>
      <c r="L42" s="456">
        <v>520990</v>
      </c>
      <c r="M42" s="456">
        <v>1661902</v>
      </c>
      <c r="N42" s="543">
        <f aca="true" t="shared" si="20" ref="N42:N47">O42+P42+Q42</f>
        <v>5358939</v>
      </c>
      <c r="O42" s="456">
        <v>2385102</v>
      </c>
      <c r="P42" s="456">
        <v>0</v>
      </c>
      <c r="Q42" s="456">
        <v>2973837</v>
      </c>
      <c r="R42" s="543">
        <f aca="true" t="shared" si="21" ref="R42:R47">Q42+P42+O42+M42+L42</f>
        <v>7541831</v>
      </c>
      <c r="S42" s="552">
        <f t="shared" si="17"/>
        <v>80.54739990170738</v>
      </c>
      <c r="T42" s="423">
        <f t="shared" si="3"/>
        <v>0</v>
      </c>
    </row>
    <row r="43" spans="1:20" ht="15.75" customHeight="1">
      <c r="A43" s="379">
        <v>3.2</v>
      </c>
      <c r="B43" s="463" t="s">
        <v>416</v>
      </c>
      <c r="C43" s="543">
        <f t="shared" si="18"/>
        <v>12216203</v>
      </c>
      <c r="D43" s="456">
        <v>6402890</v>
      </c>
      <c r="E43" s="456">
        <v>5813313</v>
      </c>
      <c r="F43" s="543">
        <f t="shared" si="19"/>
        <v>11085450</v>
      </c>
      <c r="G43" s="456">
        <v>0</v>
      </c>
      <c r="H43" s="456">
        <v>577234</v>
      </c>
      <c r="I43" s="456">
        <v>2566370</v>
      </c>
      <c r="J43" s="456">
        <v>50514</v>
      </c>
      <c r="K43" s="456">
        <v>0</v>
      </c>
      <c r="L43" s="456">
        <v>2009534</v>
      </c>
      <c r="M43" s="456">
        <v>5881798</v>
      </c>
      <c r="N43" s="543">
        <f t="shared" si="20"/>
        <v>1130753</v>
      </c>
      <c r="O43" s="456">
        <v>436240</v>
      </c>
      <c r="P43" s="456">
        <v>0</v>
      </c>
      <c r="Q43" s="456">
        <v>694513</v>
      </c>
      <c r="R43" s="543">
        <f t="shared" si="21"/>
        <v>9022085</v>
      </c>
      <c r="S43" s="552">
        <f t="shared" si="17"/>
        <v>28.81360702542522</v>
      </c>
      <c r="T43" s="423">
        <f t="shared" si="3"/>
        <v>0</v>
      </c>
    </row>
    <row r="44" spans="1:20" ht="17.25" customHeight="1">
      <c r="A44" s="379">
        <v>3.3</v>
      </c>
      <c r="B44" s="463" t="s">
        <v>417</v>
      </c>
      <c r="C44" s="543">
        <f t="shared" si="18"/>
        <v>8834225</v>
      </c>
      <c r="D44" s="456">
        <v>6711520</v>
      </c>
      <c r="E44" s="456">
        <v>2122705</v>
      </c>
      <c r="F44" s="543">
        <f t="shared" si="19"/>
        <v>7435575</v>
      </c>
      <c r="G44" s="456">
        <v>0</v>
      </c>
      <c r="H44" s="456">
        <v>759994</v>
      </c>
      <c r="I44" s="456">
        <v>3207364</v>
      </c>
      <c r="J44" s="456">
        <v>958332</v>
      </c>
      <c r="K44" s="456">
        <v>0</v>
      </c>
      <c r="L44" s="456">
        <v>1038618</v>
      </c>
      <c r="M44" s="456">
        <v>1471267</v>
      </c>
      <c r="N44" s="543">
        <f t="shared" si="20"/>
        <v>1398650</v>
      </c>
      <c r="O44" s="456">
        <v>802784</v>
      </c>
      <c r="P44" s="456">
        <v>0</v>
      </c>
      <c r="Q44" s="456">
        <v>595866</v>
      </c>
      <c r="R44" s="543">
        <f t="shared" si="21"/>
        <v>3908535</v>
      </c>
      <c r="S44" s="552">
        <f t="shared" si="17"/>
        <v>66.24491044740992</v>
      </c>
      <c r="T44" s="423">
        <f t="shared" si="3"/>
        <v>0</v>
      </c>
    </row>
    <row r="45" spans="1:20" ht="18" customHeight="1">
      <c r="A45" s="379">
        <v>3.4</v>
      </c>
      <c r="B45" s="621" t="s">
        <v>419</v>
      </c>
      <c r="C45" s="543">
        <f t="shared" si="18"/>
        <v>20919380</v>
      </c>
      <c r="D45" s="456">
        <v>4756373</v>
      </c>
      <c r="E45" s="456">
        <v>16163007</v>
      </c>
      <c r="F45" s="543">
        <f t="shared" si="19"/>
        <v>20758088</v>
      </c>
      <c r="G45" s="456">
        <v>0</v>
      </c>
      <c r="H45" s="456">
        <v>1913022</v>
      </c>
      <c r="I45" s="456">
        <v>419186</v>
      </c>
      <c r="J45" s="456">
        <v>4059116</v>
      </c>
      <c r="K45" s="456">
        <v>0</v>
      </c>
      <c r="L45" s="456">
        <v>14329542</v>
      </c>
      <c r="M45" s="456">
        <f>26296+10926</f>
        <v>37222</v>
      </c>
      <c r="N45" s="543">
        <f t="shared" si="20"/>
        <v>161292</v>
      </c>
      <c r="O45" s="456">
        <v>161292</v>
      </c>
      <c r="P45" s="456">
        <v>0</v>
      </c>
      <c r="Q45" s="456">
        <v>0</v>
      </c>
      <c r="R45" s="543">
        <f t="shared" si="21"/>
        <v>14528056</v>
      </c>
      <c r="S45" s="552">
        <f t="shared" si="17"/>
        <v>30.789560194561272</v>
      </c>
      <c r="T45" s="423">
        <f t="shared" si="3"/>
        <v>0</v>
      </c>
    </row>
    <row r="46" spans="1:20" ht="16.5" customHeight="1">
      <c r="A46" s="379">
        <v>3.5</v>
      </c>
      <c r="B46" s="644" t="s">
        <v>648</v>
      </c>
      <c r="C46" s="543">
        <f t="shared" si="18"/>
        <v>6990807</v>
      </c>
      <c r="D46" s="456">
        <v>2683921</v>
      </c>
      <c r="E46" s="456">
        <v>4306886</v>
      </c>
      <c r="F46" s="543">
        <f t="shared" si="19"/>
        <v>4403375</v>
      </c>
      <c r="G46" s="456">
        <v>21895</v>
      </c>
      <c r="H46" s="456">
        <v>1078848</v>
      </c>
      <c r="I46" s="456">
        <v>28271</v>
      </c>
      <c r="J46" s="456">
        <v>344002</v>
      </c>
      <c r="K46" s="456">
        <v>0</v>
      </c>
      <c r="L46" s="456">
        <v>401230</v>
      </c>
      <c r="M46" s="456">
        <v>2529129</v>
      </c>
      <c r="N46" s="543">
        <f t="shared" si="20"/>
        <v>2587432</v>
      </c>
      <c r="O46" s="456">
        <v>35643</v>
      </c>
      <c r="P46" s="456">
        <v>13420</v>
      </c>
      <c r="Q46" s="456">
        <v>2538369</v>
      </c>
      <c r="R46" s="543">
        <f t="shared" si="21"/>
        <v>5517791</v>
      </c>
      <c r="S46" s="552">
        <f t="shared" si="17"/>
        <v>33.451977176597495</v>
      </c>
      <c r="T46" s="423">
        <f t="shared" si="3"/>
        <v>0</v>
      </c>
    </row>
    <row r="47" spans="1:20" ht="15" customHeight="1" thickBot="1">
      <c r="A47" s="223">
        <v>3.6</v>
      </c>
      <c r="B47" s="645" t="s">
        <v>418</v>
      </c>
      <c r="C47" s="547">
        <f t="shared" si="18"/>
        <v>9277</v>
      </c>
      <c r="D47" s="723">
        <v>1650</v>
      </c>
      <c r="E47" s="723">
        <v>7627</v>
      </c>
      <c r="F47" s="547">
        <f t="shared" si="19"/>
        <v>9277</v>
      </c>
      <c r="G47" s="723">
        <v>0</v>
      </c>
      <c r="H47" s="724">
        <v>9277</v>
      </c>
      <c r="I47" s="724">
        <v>0</v>
      </c>
      <c r="J47" s="724">
        <v>0</v>
      </c>
      <c r="K47" s="724">
        <v>0</v>
      </c>
      <c r="L47" s="724">
        <v>0</v>
      </c>
      <c r="M47" s="724">
        <v>0</v>
      </c>
      <c r="N47" s="547">
        <f t="shared" si="20"/>
        <v>0</v>
      </c>
      <c r="O47" s="724">
        <v>0</v>
      </c>
      <c r="P47" s="724">
        <v>0</v>
      </c>
      <c r="Q47" s="724">
        <v>0</v>
      </c>
      <c r="R47" s="547">
        <f t="shared" si="21"/>
        <v>0</v>
      </c>
      <c r="S47" s="646">
        <f t="shared" si="17"/>
        <v>100</v>
      </c>
      <c r="T47" s="423">
        <f t="shared" si="3"/>
        <v>0</v>
      </c>
    </row>
    <row r="48" spans="1:20" ht="15.75" customHeight="1" thickTop="1">
      <c r="A48" s="548">
        <v>4</v>
      </c>
      <c r="B48" s="549" t="s">
        <v>420</v>
      </c>
      <c r="C48" s="550">
        <f>SUM(C49:C53)</f>
        <v>18136023</v>
      </c>
      <c r="D48" s="550">
        <f aca="true" t="shared" si="22" ref="D48:R48">SUM(D49:D53)</f>
        <v>6564571</v>
      </c>
      <c r="E48" s="550">
        <f t="shared" si="22"/>
        <v>11571452</v>
      </c>
      <c r="F48" s="550">
        <f t="shared" si="22"/>
        <v>13158694</v>
      </c>
      <c r="G48" s="550">
        <f t="shared" si="22"/>
        <v>3800</v>
      </c>
      <c r="H48" s="550">
        <f t="shared" si="22"/>
        <v>3531033</v>
      </c>
      <c r="I48" s="550">
        <f t="shared" si="22"/>
        <v>136378</v>
      </c>
      <c r="J48" s="550">
        <f t="shared" si="22"/>
        <v>3824908</v>
      </c>
      <c r="K48" s="550">
        <f t="shared" si="22"/>
        <v>0</v>
      </c>
      <c r="L48" s="550">
        <f t="shared" si="22"/>
        <v>5662575</v>
      </c>
      <c r="M48" s="550">
        <f t="shared" si="22"/>
        <v>0</v>
      </c>
      <c r="N48" s="550">
        <f t="shared" si="22"/>
        <v>4977329</v>
      </c>
      <c r="O48" s="550">
        <f t="shared" si="22"/>
        <v>4206396</v>
      </c>
      <c r="P48" s="550">
        <f t="shared" si="22"/>
        <v>0</v>
      </c>
      <c r="Q48" s="550">
        <f t="shared" si="22"/>
        <v>770933</v>
      </c>
      <c r="R48" s="550">
        <f t="shared" si="22"/>
        <v>10639904</v>
      </c>
      <c r="S48" s="551">
        <f t="shared" si="17"/>
        <v>56.967043993879635</v>
      </c>
      <c r="T48" s="423">
        <f t="shared" si="3"/>
        <v>0</v>
      </c>
    </row>
    <row r="49" spans="1:20" ht="19.5" customHeight="1">
      <c r="A49" s="379">
        <v>4.1</v>
      </c>
      <c r="B49" s="621" t="s">
        <v>421</v>
      </c>
      <c r="C49" s="543">
        <f>D49+E49</f>
        <v>1919022</v>
      </c>
      <c r="D49" s="633">
        <v>1420033</v>
      </c>
      <c r="E49" s="633">
        <v>498989</v>
      </c>
      <c r="F49" s="543">
        <f>G49+H49+I49+J49+K49+L49+M49</f>
        <v>1808562</v>
      </c>
      <c r="G49" s="633">
        <v>0</v>
      </c>
      <c r="H49" s="633">
        <v>286560</v>
      </c>
      <c r="I49" s="633">
        <v>0</v>
      </c>
      <c r="J49" s="633">
        <v>129000</v>
      </c>
      <c r="K49" s="633">
        <v>0</v>
      </c>
      <c r="L49" s="633">
        <v>1393002</v>
      </c>
      <c r="M49" s="633">
        <v>0</v>
      </c>
      <c r="N49" s="543">
        <f>O49+P49+Q49</f>
        <v>110460</v>
      </c>
      <c r="O49" s="633">
        <v>110460</v>
      </c>
      <c r="P49" s="633">
        <v>0</v>
      </c>
      <c r="Q49" s="633">
        <v>0</v>
      </c>
      <c r="R49" s="543">
        <f>Q49+P49+O49+M49+L49</f>
        <v>1503462</v>
      </c>
      <c r="S49" s="552">
        <f t="shared" si="17"/>
        <v>22.97737097207616</v>
      </c>
      <c r="T49" s="423">
        <f t="shared" si="3"/>
        <v>0</v>
      </c>
    </row>
    <row r="50" spans="1:20" ht="19.5" customHeight="1">
      <c r="A50" s="379">
        <v>4.2</v>
      </c>
      <c r="B50" s="621" t="s">
        <v>422</v>
      </c>
      <c r="C50" s="543">
        <f>D50+E50</f>
        <v>3871679</v>
      </c>
      <c r="D50" s="633">
        <v>2937554</v>
      </c>
      <c r="E50" s="633">
        <v>934125</v>
      </c>
      <c r="F50" s="543">
        <f>G50+H50+I50+J50+K50+L50+M50</f>
        <v>3767776</v>
      </c>
      <c r="G50" s="633">
        <v>200</v>
      </c>
      <c r="H50" s="633">
        <v>1464442</v>
      </c>
      <c r="I50" s="633">
        <v>8890</v>
      </c>
      <c r="J50" s="633">
        <v>328953</v>
      </c>
      <c r="K50" s="633">
        <v>0</v>
      </c>
      <c r="L50" s="633">
        <v>1965291</v>
      </c>
      <c r="M50" s="633">
        <v>0</v>
      </c>
      <c r="N50" s="543">
        <f>O50+P50+Q50</f>
        <v>103903</v>
      </c>
      <c r="O50" s="633">
        <v>38482</v>
      </c>
      <c r="P50" s="633">
        <v>0</v>
      </c>
      <c r="Q50" s="633">
        <v>65421</v>
      </c>
      <c r="R50" s="543">
        <f>Q50+P50+O50+M50+L50</f>
        <v>2069194</v>
      </c>
      <c r="S50" s="552">
        <f t="shared" si="17"/>
        <v>47.83949470456842</v>
      </c>
      <c r="T50" s="423">
        <f t="shared" si="3"/>
        <v>0</v>
      </c>
    </row>
    <row r="51" spans="1:20" ht="18" customHeight="1">
      <c r="A51" s="379">
        <v>4.3</v>
      </c>
      <c r="B51" s="621" t="s">
        <v>423</v>
      </c>
      <c r="C51" s="543">
        <f>D51+E51</f>
        <v>5821047</v>
      </c>
      <c r="D51" s="633">
        <v>511176</v>
      </c>
      <c r="E51" s="633">
        <v>5309871</v>
      </c>
      <c r="F51" s="543">
        <f>G51+H51+I51+J51+K51+L51+M51</f>
        <v>1432080</v>
      </c>
      <c r="G51" s="633">
        <v>1000</v>
      </c>
      <c r="H51" s="633">
        <v>287023</v>
      </c>
      <c r="I51" s="633">
        <v>62640</v>
      </c>
      <c r="J51" s="633">
        <v>315418</v>
      </c>
      <c r="K51" s="633">
        <v>0</v>
      </c>
      <c r="L51" s="633">
        <v>765999</v>
      </c>
      <c r="M51" s="633">
        <v>0</v>
      </c>
      <c r="N51" s="543">
        <f>O51+P51+Q51</f>
        <v>4388967</v>
      </c>
      <c r="O51" s="633">
        <v>3686239</v>
      </c>
      <c r="P51" s="633">
        <v>0</v>
      </c>
      <c r="Q51" s="633">
        <v>702728</v>
      </c>
      <c r="R51" s="543">
        <f>Q51+P51+O51+M51+L51</f>
        <v>5154966</v>
      </c>
      <c r="S51" s="552">
        <f t="shared" si="17"/>
        <v>46.51143790849673</v>
      </c>
      <c r="T51" s="423">
        <f t="shared" si="3"/>
        <v>0</v>
      </c>
    </row>
    <row r="52" spans="1:20" ht="18" customHeight="1">
      <c r="A52" s="379">
        <v>4.4</v>
      </c>
      <c r="B52" s="621" t="s">
        <v>424</v>
      </c>
      <c r="C52" s="543">
        <f>D52+E52</f>
        <v>1682668</v>
      </c>
      <c r="D52" s="633">
        <v>823339</v>
      </c>
      <c r="E52" s="633">
        <v>859329</v>
      </c>
      <c r="F52" s="543">
        <f>G52+H52+I52+J52+K52+L52+M52</f>
        <v>1550950</v>
      </c>
      <c r="G52" s="633">
        <v>2600</v>
      </c>
      <c r="H52" s="633">
        <v>235340</v>
      </c>
      <c r="I52" s="633">
        <v>20</v>
      </c>
      <c r="J52" s="633">
        <v>538320</v>
      </c>
      <c r="K52" s="633">
        <v>0</v>
      </c>
      <c r="L52" s="633">
        <v>774670</v>
      </c>
      <c r="M52" s="633">
        <v>0</v>
      </c>
      <c r="N52" s="543">
        <f>O52+P52+Q52</f>
        <v>131718</v>
      </c>
      <c r="O52" s="633">
        <v>131718</v>
      </c>
      <c r="P52" s="633">
        <v>0</v>
      </c>
      <c r="Q52" s="633">
        <v>0</v>
      </c>
      <c r="R52" s="543">
        <f>Q52+P52+O52+M52+L52</f>
        <v>906388</v>
      </c>
      <c r="S52" s="552">
        <f t="shared" si="17"/>
        <v>50.051903671943</v>
      </c>
      <c r="T52" s="423">
        <f t="shared" si="3"/>
        <v>0</v>
      </c>
    </row>
    <row r="53" spans="1:20" ht="18" customHeight="1" thickBot="1">
      <c r="A53" s="223">
        <v>4.5</v>
      </c>
      <c r="B53" s="645" t="s">
        <v>425</v>
      </c>
      <c r="C53" s="547">
        <f>D53+E53</f>
        <v>4841607</v>
      </c>
      <c r="D53" s="640">
        <v>872469</v>
      </c>
      <c r="E53" s="640">
        <v>3969138</v>
      </c>
      <c r="F53" s="547">
        <f>G53+H53+I53+J53+K53+L53+M53</f>
        <v>4599326</v>
      </c>
      <c r="G53" s="640">
        <v>0</v>
      </c>
      <c r="H53" s="640">
        <v>1257668</v>
      </c>
      <c r="I53" s="640">
        <v>64828</v>
      </c>
      <c r="J53" s="640">
        <v>2513217</v>
      </c>
      <c r="K53" s="640">
        <v>0</v>
      </c>
      <c r="L53" s="640">
        <v>763613</v>
      </c>
      <c r="M53" s="640">
        <v>0</v>
      </c>
      <c r="N53" s="547">
        <f>O53+P53+Q53</f>
        <v>242281</v>
      </c>
      <c r="O53" s="640">
        <v>239497</v>
      </c>
      <c r="P53" s="640">
        <v>0</v>
      </c>
      <c r="Q53" s="640">
        <v>2784</v>
      </c>
      <c r="R53" s="547">
        <f>Q53+P53+O53+M53+L53</f>
        <v>1005894</v>
      </c>
      <c r="S53" s="558">
        <f t="shared" si="17"/>
        <v>83.39728473258909</v>
      </c>
      <c r="T53" s="423">
        <f t="shared" si="3"/>
        <v>0</v>
      </c>
    </row>
    <row r="54" spans="1:20" ht="18" customHeight="1" thickTop="1">
      <c r="A54" s="548">
        <v>5</v>
      </c>
      <c r="B54" s="549" t="s">
        <v>426</v>
      </c>
      <c r="C54" s="550">
        <f aca="true" t="shared" si="23" ref="C54:R54">SUM(C55:C57)</f>
        <v>53426980</v>
      </c>
      <c r="D54" s="550">
        <f t="shared" si="23"/>
        <v>26173583</v>
      </c>
      <c r="E54" s="550">
        <f t="shared" si="23"/>
        <v>27253397</v>
      </c>
      <c r="F54" s="550">
        <f t="shared" si="23"/>
        <v>48887124</v>
      </c>
      <c r="G54" s="550">
        <f t="shared" si="23"/>
        <v>2406051</v>
      </c>
      <c r="H54" s="550">
        <f t="shared" si="23"/>
        <v>11542327</v>
      </c>
      <c r="I54" s="550">
        <f t="shared" si="23"/>
        <v>1726939</v>
      </c>
      <c r="J54" s="550">
        <f t="shared" si="23"/>
        <v>11593664</v>
      </c>
      <c r="K54" s="550">
        <f t="shared" si="23"/>
        <v>0</v>
      </c>
      <c r="L54" s="550">
        <f t="shared" si="23"/>
        <v>21618143</v>
      </c>
      <c r="M54" s="550">
        <f t="shared" si="23"/>
        <v>0</v>
      </c>
      <c r="N54" s="550">
        <f t="shared" si="23"/>
        <v>4539856</v>
      </c>
      <c r="O54" s="550">
        <f t="shared" si="23"/>
        <v>1965635</v>
      </c>
      <c r="P54" s="550">
        <f t="shared" si="23"/>
        <v>0</v>
      </c>
      <c r="Q54" s="550">
        <f t="shared" si="23"/>
        <v>2574221</v>
      </c>
      <c r="R54" s="550">
        <f t="shared" si="23"/>
        <v>26157999</v>
      </c>
      <c r="S54" s="551">
        <f t="shared" si="17"/>
        <v>55.77947477540303</v>
      </c>
      <c r="T54" s="423">
        <f t="shared" si="3"/>
        <v>0</v>
      </c>
    </row>
    <row r="55" spans="1:20" ht="18" customHeight="1">
      <c r="A55" s="379">
        <v>5.1</v>
      </c>
      <c r="B55" s="621" t="s">
        <v>431</v>
      </c>
      <c r="C55" s="622">
        <f>D55+E55</f>
        <v>13698980</v>
      </c>
      <c r="D55" s="623">
        <v>6684871</v>
      </c>
      <c r="E55" s="623">
        <v>7014109</v>
      </c>
      <c r="F55" s="622">
        <f>G55+H55+I55+J55+K55+L55+M55</f>
        <v>12419492</v>
      </c>
      <c r="G55" s="623">
        <f>2393206+12285</f>
        <v>2405491</v>
      </c>
      <c r="H55" s="623">
        <f>278570+14858+1417113</f>
        <v>1710541</v>
      </c>
      <c r="I55" s="623">
        <f>19689+416103</f>
        <v>435792</v>
      </c>
      <c r="J55" s="623">
        <f>257200+9600+1409257</f>
        <v>1676057</v>
      </c>
      <c r="K55" s="623">
        <v>0</v>
      </c>
      <c r="L55" s="623">
        <v>6191611</v>
      </c>
      <c r="M55" s="623">
        <v>0</v>
      </c>
      <c r="N55" s="622">
        <f>O55+P55+Q55</f>
        <v>1279488</v>
      </c>
      <c r="O55" s="623">
        <v>132979</v>
      </c>
      <c r="P55" s="623">
        <v>0</v>
      </c>
      <c r="Q55" s="623">
        <v>1146509</v>
      </c>
      <c r="R55" s="622">
        <f>Q55+P55+O55+M55+L55</f>
        <v>7471099</v>
      </c>
      <c r="S55" s="647">
        <f t="shared" si="17"/>
        <v>50.1460204652493</v>
      </c>
      <c r="T55" s="423">
        <f t="shared" si="3"/>
        <v>0</v>
      </c>
    </row>
    <row r="56" spans="1:20" ht="18" customHeight="1">
      <c r="A56" s="379">
        <v>5.2</v>
      </c>
      <c r="B56" s="621" t="s">
        <v>427</v>
      </c>
      <c r="C56" s="622">
        <f>D56+E56</f>
        <v>14673987</v>
      </c>
      <c r="D56" s="623">
        <v>6988871</v>
      </c>
      <c r="E56" s="623">
        <v>7685116</v>
      </c>
      <c r="F56" s="622">
        <f>G56+H56+I56+J56+K56+L56+M56</f>
        <v>13024898</v>
      </c>
      <c r="G56" s="623">
        <v>560</v>
      </c>
      <c r="H56" s="623">
        <v>2742191</v>
      </c>
      <c r="I56" s="623">
        <v>869696</v>
      </c>
      <c r="J56" s="623">
        <v>2650735</v>
      </c>
      <c r="K56" s="623">
        <v>0</v>
      </c>
      <c r="L56" s="623">
        <v>6761716</v>
      </c>
      <c r="M56" s="623">
        <v>0</v>
      </c>
      <c r="N56" s="622">
        <f>O56+P56+Q56</f>
        <v>1649089</v>
      </c>
      <c r="O56" s="623">
        <v>235827</v>
      </c>
      <c r="P56" s="623">
        <v>0</v>
      </c>
      <c r="Q56" s="623">
        <v>1413262</v>
      </c>
      <c r="R56" s="622">
        <f>Q56+P56+O56+M56+L56</f>
        <v>8410805</v>
      </c>
      <c r="S56" s="647">
        <f t="shared" si="17"/>
        <v>48.086226855672884</v>
      </c>
      <c r="T56" s="423">
        <f t="shared" si="3"/>
        <v>0</v>
      </c>
    </row>
    <row r="57" spans="1:20" ht="17.25" customHeight="1" thickBot="1">
      <c r="A57" s="223">
        <v>5.3</v>
      </c>
      <c r="B57" s="645" t="s">
        <v>428</v>
      </c>
      <c r="C57" s="648">
        <f>D57+E57</f>
        <v>25054013</v>
      </c>
      <c r="D57" s="649">
        <v>12499841</v>
      </c>
      <c r="E57" s="649">
        <v>12554172</v>
      </c>
      <c r="F57" s="648">
        <f>G57+H57+I57+J57+K57+L57+M57</f>
        <v>23442734</v>
      </c>
      <c r="G57" s="649">
        <v>0</v>
      </c>
      <c r="H57" s="649">
        <v>7089595</v>
      </c>
      <c r="I57" s="649">
        <v>421451</v>
      </c>
      <c r="J57" s="649">
        <v>7266872</v>
      </c>
      <c r="K57" s="649">
        <v>0</v>
      </c>
      <c r="L57" s="649">
        <v>8664816</v>
      </c>
      <c r="M57" s="649">
        <v>0</v>
      </c>
      <c r="N57" s="648">
        <f>O57+P57+Q57</f>
        <v>1611279</v>
      </c>
      <c r="O57" s="649">
        <v>1596829</v>
      </c>
      <c r="P57" s="649">
        <v>0</v>
      </c>
      <c r="Q57" s="649">
        <v>14450</v>
      </c>
      <c r="R57" s="648">
        <f>Q57+P57+O57+M57+L57</f>
        <v>10276095</v>
      </c>
      <c r="S57" s="650">
        <f t="shared" si="17"/>
        <v>63.038372572072866</v>
      </c>
      <c r="T57" s="423">
        <f t="shared" si="3"/>
        <v>0</v>
      </c>
    </row>
    <row r="58" spans="1:20" ht="18.75" customHeight="1" thickTop="1">
      <c r="A58" s="548">
        <v>6</v>
      </c>
      <c r="B58" s="549" t="s">
        <v>429</v>
      </c>
      <c r="C58" s="550">
        <f aca="true" t="shared" si="24" ref="C58:R58">SUM(C59:C60)</f>
        <v>8641516</v>
      </c>
      <c r="D58" s="550">
        <f t="shared" si="24"/>
        <v>5616698</v>
      </c>
      <c r="E58" s="550">
        <f t="shared" si="24"/>
        <v>3024818</v>
      </c>
      <c r="F58" s="550">
        <f t="shared" si="24"/>
        <v>6706846</v>
      </c>
      <c r="G58" s="550">
        <f t="shared" si="24"/>
        <v>9344</v>
      </c>
      <c r="H58" s="550">
        <f t="shared" si="24"/>
        <v>2256966</v>
      </c>
      <c r="I58" s="550">
        <f t="shared" si="24"/>
        <v>276078</v>
      </c>
      <c r="J58" s="550">
        <f t="shared" si="24"/>
        <v>1914382</v>
      </c>
      <c r="K58" s="550">
        <f t="shared" si="24"/>
        <v>0</v>
      </c>
      <c r="L58" s="550">
        <f t="shared" si="24"/>
        <v>2250076</v>
      </c>
      <c r="M58" s="550">
        <f t="shared" si="24"/>
        <v>0</v>
      </c>
      <c r="N58" s="550">
        <f t="shared" si="24"/>
        <v>1934670</v>
      </c>
      <c r="O58" s="550">
        <f t="shared" si="24"/>
        <v>236421</v>
      </c>
      <c r="P58" s="550">
        <f t="shared" si="24"/>
        <v>0</v>
      </c>
      <c r="Q58" s="550">
        <f t="shared" si="24"/>
        <v>1698249</v>
      </c>
      <c r="R58" s="550">
        <f t="shared" si="24"/>
        <v>4184746</v>
      </c>
      <c r="S58" s="551">
        <f t="shared" si="17"/>
        <v>66.45105612981123</v>
      </c>
      <c r="T58" s="423">
        <f t="shared" si="3"/>
        <v>0</v>
      </c>
    </row>
    <row r="59" spans="1:20" ht="18" customHeight="1">
      <c r="A59" s="379">
        <v>6.1</v>
      </c>
      <c r="B59" s="651" t="s">
        <v>653</v>
      </c>
      <c r="C59" s="543">
        <f>D59+E59</f>
        <v>2966644</v>
      </c>
      <c r="D59" s="633">
        <v>2261915</v>
      </c>
      <c r="E59" s="633">
        <v>704729</v>
      </c>
      <c r="F59" s="543">
        <f>G59+H59+I59+J59+K59+L59+M59</f>
        <v>2896329</v>
      </c>
      <c r="G59" s="633">
        <v>6233</v>
      </c>
      <c r="H59" s="633">
        <v>574059</v>
      </c>
      <c r="I59" s="633">
        <v>213663</v>
      </c>
      <c r="J59" s="633">
        <v>1100223</v>
      </c>
      <c r="K59" s="633">
        <v>0</v>
      </c>
      <c r="L59" s="633">
        <v>1002151</v>
      </c>
      <c r="M59" s="633">
        <v>0</v>
      </c>
      <c r="N59" s="543">
        <f>O59+P59+Q59</f>
        <v>70315</v>
      </c>
      <c r="O59" s="633">
        <v>70315</v>
      </c>
      <c r="P59" s="633">
        <v>0</v>
      </c>
      <c r="Q59" s="633">
        <v>0</v>
      </c>
      <c r="R59" s="543">
        <f>Q59+P59+O59+M59+L59</f>
        <v>1072466</v>
      </c>
      <c r="S59" s="637">
        <f t="shared" si="17"/>
        <v>65.3992692128553</v>
      </c>
      <c r="T59" s="423">
        <f t="shared" si="3"/>
        <v>0</v>
      </c>
    </row>
    <row r="60" spans="1:20" ht="18.75" customHeight="1" thickBot="1">
      <c r="A60" s="223">
        <v>6.2</v>
      </c>
      <c r="B60" s="652" t="s">
        <v>430</v>
      </c>
      <c r="C60" s="547">
        <f>D60+E60</f>
        <v>5674872</v>
      </c>
      <c r="D60" s="653">
        <v>3354783</v>
      </c>
      <c r="E60" s="653">
        <v>2320089</v>
      </c>
      <c r="F60" s="547">
        <f>G60+H60+I60+J60+K60+L60+M60</f>
        <v>3810517</v>
      </c>
      <c r="G60" s="653">
        <v>3111</v>
      </c>
      <c r="H60" s="653">
        <v>1682907</v>
      </c>
      <c r="I60" s="653">
        <v>62415</v>
      </c>
      <c r="J60" s="653">
        <v>814159</v>
      </c>
      <c r="K60" s="653">
        <v>0</v>
      </c>
      <c r="L60" s="653">
        <v>1247925</v>
      </c>
      <c r="M60" s="653">
        <v>0</v>
      </c>
      <c r="N60" s="547">
        <f>O60+P60+Q60</f>
        <v>1864355</v>
      </c>
      <c r="O60" s="653">
        <v>166106</v>
      </c>
      <c r="P60" s="653">
        <v>0</v>
      </c>
      <c r="Q60" s="653">
        <v>1698249</v>
      </c>
      <c r="R60" s="547">
        <f>Q60+P60+O60+M60+L60</f>
        <v>3112280</v>
      </c>
      <c r="S60" s="558">
        <f t="shared" si="17"/>
        <v>67.25050695220622</v>
      </c>
      <c r="T60" s="423">
        <f t="shared" si="3"/>
        <v>0</v>
      </c>
    </row>
    <row r="61" spans="1:20" ht="15.75" customHeight="1" thickTop="1">
      <c r="A61" s="548">
        <v>7</v>
      </c>
      <c r="B61" s="549" t="s">
        <v>734</v>
      </c>
      <c r="C61" s="550">
        <f>SUM(C62:C66)</f>
        <v>158718686</v>
      </c>
      <c r="D61" s="550">
        <f aca="true" t="shared" si="25" ref="D61:R61">SUM(D62:D66)</f>
        <v>53899522</v>
      </c>
      <c r="E61" s="550">
        <f t="shared" si="25"/>
        <v>104819164</v>
      </c>
      <c r="F61" s="550">
        <f t="shared" si="25"/>
        <v>123879046</v>
      </c>
      <c r="G61" s="550">
        <f t="shared" si="25"/>
        <v>60721</v>
      </c>
      <c r="H61" s="550">
        <f t="shared" si="25"/>
        <v>16074259</v>
      </c>
      <c r="I61" s="550">
        <f t="shared" si="25"/>
        <v>5874113</v>
      </c>
      <c r="J61" s="550">
        <f t="shared" si="25"/>
        <v>216639</v>
      </c>
      <c r="K61" s="550">
        <f t="shared" si="25"/>
        <v>0</v>
      </c>
      <c r="L61" s="550">
        <f t="shared" si="25"/>
        <v>101653314</v>
      </c>
      <c r="M61" s="550">
        <f t="shared" si="25"/>
        <v>0</v>
      </c>
      <c r="N61" s="550">
        <f t="shared" si="25"/>
        <v>34839640</v>
      </c>
      <c r="O61" s="550">
        <f t="shared" si="25"/>
        <v>761614</v>
      </c>
      <c r="P61" s="550">
        <f t="shared" si="25"/>
        <v>0</v>
      </c>
      <c r="Q61" s="550">
        <f t="shared" si="25"/>
        <v>34078026</v>
      </c>
      <c r="R61" s="550">
        <f t="shared" si="25"/>
        <v>136492954</v>
      </c>
      <c r="S61" s="551">
        <f t="shared" si="17"/>
        <v>17.941478173798657</v>
      </c>
      <c r="T61" s="423">
        <f t="shared" si="3"/>
        <v>0</v>
      </c>
    </row>
    <row r="62" spans="1:20" ht="15.75" customHeight="1">
      <c r="A62" s="379">
        <v>7.1</v>
      </c>
      <c r="B62" s="621" t="s">
        <v>433</v>
      </c>
      <c r="C62" s="543">
        <f>D62+E62</f>
        <v>7972231</v>
      </c>
      <c r="D62" s="456">
        <v>6836856</v>
      </c>
      <c r="E62" s="456">
        <v>1135375</v>
      </c>
      <c r="F62" s="543">
        <f>G62+H62+I62+J62+K62+L62+M62</f>
        <v>3655907</v>
      </c>
      <c r="G62" s="456">
        <v>0</v>
      </c>
      <c r="H62" s="456">
        <v>181710</v>
      </c>
      <c r="I62" s="456">
        <v>1426342</v>
      </c>
      <c r="J62" s="456">
        <v>0</v>
      </c>
      <c r="K62" s="456">
        <v>0</v>
      </c>
      <c r="L62" s="456">
        <v>2047855</v>
      </c>
      <c r="M62" s="456">
        <v>0</v>
      </c>
      <c r="N62" s="543">
        <f>O62+P62+Q62</f>
        <v>4316324</v>
      </c>
      <c r="O62" s="456">
        <v>45559</v>
      </c>
      <c r="P62" s="456">
        <v>0</v>
      </c>
      <c r="Q62" s="456">
        <v>4270765</v>
      </c>
      <c r="R62" s="543">
        <f>Q62+P62+O62+M62+L62</f>
        <v>6364179</v>
      </c>
      <c r="S62" s="552">
        <f t="shared" si="17"/>
        <v>43.98503572437701</v>
      </c>
      <c r="T62" s="423">
        <f t="shared" si="3"/>
        <v>0</v>
      </c>
    </row>
    <row r="63" spans="1:20" ht="15.75" customHeight="1">
      <c r="A63" s="379">
        <v>7.2</v>
      </c>
      <c r="B63" s="654" t="s">
        <v>434</v>
      </c>
      <c r="C63" s="543">
        <f>D63+E63</f>
        <v>73116027</v>
      </c>
      <c r="D63" s="456">
        <v>6674255</v>
      </c>
      <c r="E63" s="456">
        <v>66441772</v>
      </c>
      <c r="F63" s="543">
        <f>G63+H63+I63+J63+K63+L63+M63</f>
        <v>71058172</v>
      </c>
      <c r="G63" s="456">
        <v>59196</v>
      </c>
      <c r="H63" s="456">
        <v>14458577</v>
      </c>
      <c r="I63" s="456">
        <v>418725</v>
      </c>
      <c r="J63" s="456">
        <v>157000</v>
      </c>
      <c r="K63" s="456">
        <v>0</v>
      </c>
      <c r="L63" s="456">
        <v>55964674</v>
      </c>
      <c r="M63" s="456">
        <v>0</v>
      </c>
      <c r="N63" s="543">
        <f>O63+P63+Q63</f>
        <v>2057855</v>
      </c>
      <c r="O63" s="456">
        <v>78789</v>
      </c>
      <c r="P63" s="456">
        <v>0</v>
      </c>
      <c r="Q63" s="456">
        <v>1979066</v>
      </c>
      <c r="R63" s="543">
        <f>Q63+P63+O63+M63+L63</f>
        <v>58022529</v>
      </c>
      <c r="S63" s="552">
        <f t="shared" si="17"/>
        <v>21.241044590902227</v>
      </c>
      <c r="T63" s="423">
        <f t="shared" si="3"/>
        <v>0</v>
      </c>
    </row>
    <row r="64" spans="1:20" ht="17.25" customHeight="1">
      <c r="A64" s="379">
        <v>7.3</v>
      </c>
      <c r="B64" s="654" t="s">
        <v>435</v>
      </c>
      <c r="C64" s="543">
        <f>D64+E64</f>
        <v>38434828</v>
      </c>
      <c r="D64" s="456">
        <v>16301693</v>
      </c>
      <c r="E64" s="456">
        <v>22133135</v>
      </c>
      <c r="F64" s="543">
        <f>G64+H64+I64+J64+K64+L64+M64</f>
        <v>10835784</v>
      </c>
      <c r="G64" s="456">
        <v>1125</v>
      </c>
      <c r="H64" s="456">
        <v>1051960</v>
      </c>
      <c r="I64" s="456">
        <v>645096</v>
      </c>
      <c r="J64" s="456">
        <v>20086</v>
      </c>
      <c r="K64" s="456">
        <v>0</v>
      </c>
      <c r="L64" s="456">
        <v>9117517</v>
      </c>
      <c r="M64" s="456">
        <v>0</v>
      </c>
      <c r="N64" s="543">
        <f>O64+P64+Q64</f>
        <v>27599044</v>
      </c>
      <c r="O64" s="456">
        <v>315459</v>
      </c>
      <c r="P64" s="456">
        <v>0</v>
      </c>
      <c r="Q64" s="456">
        <v>27283585</v>
      </c>
      <c r="R64" s="543">
        <f>Q64+P64+O64+M64+L64</f>
        <v>36716561</v>
      </c>
      <c r="S64" s="552">
        <f t="shared" si="17"/>
        <v>15.85733897980986</v>
      </c>
      <c r="T64" s="423">
        <f t="shared" si="3"/>
        <v>0</v>
      </c>
    </row>
    <row r="65" spans="1:20" ht="18" customHeight="1">
      <c r="A65" s="379">
        <v>7.4</v>
      </c>
      <c r="B65" s="621" t="s">
        <v>436</v>
      </c>
      <c r="C65" s="543">
        <f>D65+E65</f>
        <v>5545129</v>
      </c>
      <c r="D65" s="456">
        <v>4988545</v>
      </c>
      <c r="E65" s="456">
        <v>556584</v>
      </c>
      <c r="F65" s="543">
        <f>G65+H65+I65+J65+K65+L65+M65</f>
        <v>4993899</v>
      </c>
      <c r="G65" s="456">
        <v>400</v>
      </c>
      <c r="H65" s="456">
        <v>212364</v>
      </c>
      <c r="I65" s="456">
        <v>221900</v>
      </c>
      <c r="J65" s="456">
        <v>0</v>
      </c>
      <c r="K65" s="456">
        <v>0</v>
      </c>
      <c r="L65" s="456">
        <v>4559235</v>
      </c>
      <c r="M65" s="456">
        <v>0</v>
      </c>
      <c r="N65" s="543">
        <f>O65+P65+Q65</f>
        <v>551230</v>
      </c>
      <c r="O65" s="456">
        <v>250599</v>
      </c>
      <c r="P65" s="456">
        <v>0</v>
      </c>
      <c r="Q65" s="456">
        <v>300631</v>
      </c>
      <c r="R65" s="543">
        <f>Q65+P65+O65+M65+L65</f>
        <v>5110465</v>
      </c>
      <c r="S65" s="552">
        <f t="shared" si="17"/>
        <v>8.703900499389356</v>
      </c>
      <c r="T65" s="423">
        <f t="shared" si="3"/>
        <v>0</v>
      </c>
    </row>
    <row r="66" spans="1:20" ht="19.5" customHeight="1" thickBot="1">
      <c r="A66" s="223">
        <v>7.5</v>
      </c>
      <c r="B66" s="645" t="s">
        <v>437</v>
      </c>
      <c r="C66" s="547">
        <f>D66+E66</f>
        <v>33650471</v>
      </c>
      <c r="D66" s="457">
        <v>19098173</v>
      </c>
      <c r="E66" s="457">
        <v>14552298</v>
      </c>
      <c r="F66" s="547">
        <f>G66+H66+I66+J66+K66+L66+M66</f>
        <v>33335284</v>
      </c>
      <c r="G66" s="457">
        <v>0</v>
      </c>
      <c r="H66" s="457">
        <v>169648</v>
      </c>
      <c r="I66" s="457">
        <v>3162050</v>
      </c>
      <c r="J66" s="457">
        <v>39553</v>
      </c>
      <c r="K66" s="457">
        <v>0</v>
      </c>
      <c r="L66" s="457">
        <v>29964033</v>
      </c>
      <c r="M66" s="457">
        <v>0</v>
      </c>
      <c r="N66" s="547">
        <f>O66+P66+Q66</f>
        <v>315187</v>
      </c>
      <c r="O66" s="457">
        <v>71208</v>
      </c>
      <c r="P66" s="457">
        <v>0</v>
      </c>
      <c r="Q66" s="457">
        <v>243979</v>
      </c>
      <c r="R66" s="547">
        <f>Q66+P66+O66+M66+L66</f>
        <v>30279220</v>
      </c>
      <c r="S66" s="558">
        <f t="shared" si="17"/>
        <v>10.113161177807875</v>
      </c>
      <c r="T66" s="423">
        <f t="shared" si="3"/>
        <v>0</v>
      </c>
    </row>
    <row r="67" spans="1:20" ht="15.75" customHeight="1" thickTop="1">
      <c r="A67" s="548">
        <v>8</v>
      </c>
      <c r="B67" s="549" t="s">
        <v>735</v>
      </c>
      <c r="C67" s="550">
        <f>C68+C69+C70+C71</f>
        <v>91045618</v>
      </c>
      <c r="D67" s="550">
        <f aca="true" t="shared" si="26" ref="D67:R67">D68+D69+D70+D71</f>
        <v>78329512</v>
      </c>
      <c r="E67" s="550">
        <f t="shared" si="26"/>
        <v>12716106</v>
      </c>
      <c r="F67" s="550">
        <f t="shared" si="26"/>
        <v>57837518</v>
      </c>
      <c r="G67" s="550">
        <f t="shared" si="26"/>
        <v>95584</v>
      </c>
      <c r="H67" s="550">
        <f t="shared" si="26"/>
        <v>5847394</v>
      </c>
      <c r="I67" s="550">
        <f t="shared" si="26"/>
        <v>3959870</v>
      </c>
      <c r="J67" s="550">
        <f t="shared" si="26"/>
        <v>743574</v>
      </c>
      <c r="K67" s="550">
        <f t="shared" si="26"/>
        <v>0</v>
      </c>
      <c r="L67" s="550">
        <f t="shared" si="26"/>
        <v>0</v>
      </c>
      <c r="M67" s="550">
        <f t="shared" si="26"/>
        <v>47191096</v>
      </c>
      <c r="N67" s="550">
        <f t="shared" si="26"/>
        <v>33208100</v>
      </c>
      <c r="O67" s="550">
        <f t="shared" si="26"/>
        <v>1589481</v>
      </c>
      <c r="P67" s="550">
        <f t="shared" si="26"/>
        <v>0</v>
      </c>
      <c r="Q67" s="550">
        <f t="shared" si="26"/>
        <v>31618619</v>
      </c>
      <c r="R67" s="550">
        <f t="shared" si="26"/>
        <v>80399196</v>
      </c>
      <c r="S67" s="551">
        <f t="shared" si="17"/>
        <v>18.407466931758723</v>
      </c>
      <c r="T67" s="423">
        <f t="shared" si="3"/>
        <v>0</v>
      </c>
    </row>
    <row r="68" spans="1:20" ht="18" customHeight="1">
      <c r="A68" s="379">
        <v>8.1</v>
      </c>
      <c r="B68" s="655" t="s">
        <v>439</v>
      </c>
      <c r="C68" s="543">
        <f>D68+E68</f>
        <v>18461023</v>
      </c>
      <c r="D68" s="633">
        <v>17582558</v>
      </c>
      <c r="E68" s="633">
        <v>878465</v>
      </c>
      <c r="F68" s="543">
        <f>G68+H68+I68+J68+K68+L68+M68</f>
        <v>18427327</v>
      </c>
      <c r="G68" s="456">
        <v>62743</v>
      </c>
      <c r="H68" s="456">
        <v>862707</v>
      </c>
      <c r="I68" s="456">
        <v>43500</v>
      </c>
      <c r="J68" s="456">
        <v>43574</v>
      </c>
      <c r="K68" s="456">
        <v>0</v>
      </c>
      <c r="L68" s="456">
        <v>0</v>
      </c>
      <c r="M68" s="456">
        <v>17414803</v>
      </c>
      <c r="N68" s="543">
        <f>O68+P68+Q68</f>
        <v>33696</v>
      </c>
      <c r="O68" s="456">
        <v>33696</v>
      </c>
      <c r="P68" s="456">
        <v>0</v>
      </c>
      <c r="Q68" s="456">
        <v>0</v>
      </c>
      <c r="R68" s="543">
        <f>Q68+P68+O68+M68+L68</f>
        <v>17448499</v>
      </c>
      <c r="S68" s="552">
        <f t="shared" si="17"/>
        <v>5.4946873195445</v>
      </c>
      <c r="T68" s="423">
        <f t="shared" si="3"/>
        <v>0</v>
      </c>
    </row>
    <row r="69" spans="1:20" ht="18" customHeight="1">
      <c r="A69" s="379">
        <v>8.2</v>
      </c>
      <c r="B69" s="655" t="s">
        <v>440</v>
      </c>
      <c r="C69" s="543">
        <f>D69+E69</f>
        <v>30522689</v>
      </c>
      <c r="D69" s="633">
        <v>29874141</v>
      </c>
      <c r="E69" s="633">
        <v>648548</v>
      </c>
      <c r="F69" s="543">
        <f>G69+H69+I69+J69+K69+L69+M69</f>
        <v>23072870</v>
      </c>
      <c r="G69" s="456">
        <v>32641</v>
      </c>
      <c r="H69" s="456">
        <v>3630267</v>
      </c>
      <c r="I69" s="456">
        <v>18610</v>
      </c>
      <c r="J69" s="456">
        <v>0</v>
      </c>
      <c r="K69" s="456">
        <v>0</v>
      </c>
      <c r="L69" s="456">
        <v>0</v>
      </c>
      <c r="M69" s="456">
        <v>19391352</v>
      </c>
      <c r="N69" s="543">
        <f>O69+P69+Q69</f>
        <v>7449819</v>
      </c>
      <c r="O69" s="456">
        <v>1346516</v>
      </c>
      <c r="P69" s="456">
        <v>0</v>
      </c>
      <c r="Q69" s="456">
        <v>6103303</v>
      </c>
      <c r="R69" s="543">
        <f>Q69+P69+O69+M69+L69</f>
        <v>26841171</v>
      </c>
      <c r="S69" s="552">
        <f t="shared" si="17"/>
        <v>15.956047080402222</v>
      </c>
      <c r="T69" s="423">
        <f t="shared" si="3"/>
        <v>0</v>
      </c>
    </row>
    <row r="70" spans="1:20" ht="19.5" customHeight="1">
      <c r="A70" s="379">
        <v>8.3</v>
      </c>
      <c r="B70" s="656" t="s">
        <v>441</v>
      </c>
      <c r="C70" s="543">
        <f>D70+E70</f>
        <v>451389</v>
      </c>
      <c r="D70" s="633">
        <v>93215</v>
      </c>
      <c r="E70" s="633">
        <v>358174</v>
      </c>
      <c r="F70" s="543">
        <f>G70+H70+I70+J70+K70+L70+M70</f>
        <v>451389</v>
      </c>
      <c r="G70" s="456">
        <v>0</v>
      </c>
      <c r="H70" s="456">
        <v>432174</v>
      </c>
      <c r="I70" s="456">
        <v>19215</v>
      </c>
      <c r="J70" s="456">
        <v>0</v>
      </c>
      <c r="K70" s="456">
        <v>0</v>
      </c>
      <c r="L70" s="456">
        <v>0</v>
      </c>
      <c r="M70" s="456">
        <v>0</v>
      </c>
      <c r="N70" s="543">
        <f>O70+P70+Q70</f>
        <v>0</v>
      </c>
      <c r="O70" s="456">
        <v>0</v>
      </c>
      <c r="P70" s="456">
        <v>0</v>
      </c>
      <c r="Q70" s="456">
        <v>0</v>
      </c>
      <c r="R70" s="543">
        <f>Q70+P70+O70+M70+L70</f>
        <v>0</v>
      </c>
      <c r="S70" s="657">
        <f t="shared" si="17"/>
        <v>100</v>
      </c>
      <c r="T70" s="423">
        <f t="shared" si="3"/>
        <v>0</v>
      </c>
    </row>
    <row r="71" spans="1:20" ht="18" customHeight="1" thickBot="1">
      <c r="A71" s="223">
        <v>8.4</v>
      </c>
      <c r="B71" s="658" t="s">
        <v>650</v>
      </c>
      <c r="C71" s="547">
        <f>D71+E71</f>
        <v>41610517</v>
      </c>
      <c r="D71" s="640">
        <v>30779598</v>
      </c>
      <c r="E71" s="640">
        <v>10830919</v>
      </c>
      <c r="F71" s="547">
        <f>G71+H71+I71+J71+K71+L71+M71</f>
        <v>15885932</v>
      </c>
      <c r="G71" s="457">
        <v>200</v>
      </c>
      <c r="H71" s="457">
        <v>922246</v>
      </c>
      <c r="I71" s="457">
        <v>3878545</v>
      </c>
      <c r="J71" s="457">
        <v>700000</v>
      </c>
      <c r="K71" s="457">
        <v>0</v>
      </c>
      <c r="L71" s="457">
        <v>0</v>
      </c>
      <c r="M71" s="457">
        <v>10384941</v>
      </c>
      <c r="N71" s="547">
        <f>O71+P71+Q71</f>
        <v>25724585</v>
      </c>
      <c r="O71" s="457">
        <v>209269</v>
      </c>
      <c r="P71" s="457">
        <v>0</v>
      </c>
      <c r="Q71" s="457">
        <v>25515316</v>
      </c>
      <c r="R71" s="547">
        <f>Q71+P71+O71+M71+L71</f>
        <v>36109526</v>
      </c>
      <c r="S71" s="558">
        <f t="shared" si="17"/>
        <v>34.62806588873728</v>
      </c>
      <c r="T71" s="423">
        <f t="shared" si="3"/>
        <v>0</v>
      </c>
    </row>
    <row r="72" spans="1:20" ht="17.25" customHeight="1" thickTop="1">
      <c r="A72" s="548">
        <v>9</v>
      </c>
      <c r="B72" s="549" t="s">
        <v>442</v>
      </c>
      <c r="C72" s="550">
        <f>SUM(C73:C75)</f>
        <v>34278194</v>
      </c>
      <c r="D72" s="550">
        <f aca="true" t="shared" si="27" ref="D72:R72">SUM(D73:D75)</f>
        <v>32373438</v>
      </c>
      <c r="E72" s="550">
        <f t="shared" si="27"/>
        <v>1904756</v>
      </c>
      <c r="F72" s="550">
        <f t="shared" si="27"/>
        <v>32853524</v>
      </c>
      <c r="G72" s="550">
        <f t="shared" si="27"/>
        <v>168210</v>
      </c>
      <c r="H72" s="550">
        <f t="shared" si="27"/>
        <v>1491537</v>
      </c>
      <c r="I72" s="550">
        <f t="shared" si="27"/>
        <v>91186</v>
      </c>
      <c r="J72" s="550">
        <f t="shared" si="27"/>
        <v>469522</v>
      </c>
      <c r="K72" s="550">
        <f t="shared" si="27"/>
        <v>2986</v>
      </c>
      <c r="L72" s="550">
        <f t="shared" si="27"/>
        <v>30630083</v>
      </c>
      <c r="M72" s="550">
        <f t="shared" si="27"/>
        <v>0</v>
      </c>
      <c r="N72" s="550">
        <f t="shared" si="27"/>
        <v>1424670</v>
      </c>
      <c r="O72" s="550">
        <f t="shared" si="27"/>
        <v>1424670</v>
      </c>
      <c r="P72" s="550">
        <f t="shared" si="27"/>
        <v>0</v>
      </c>
      <c r="Q72" s="550">
        <f t="shared" si="27"/>
        <v>0</v>
      </c>
      <c r="R72" s="550">
        <f t="shared" si="27"/>
        <v>32054753</v>
      </c>
      <c r="S72" s="551">
        <f t="shared" si="17"/>
        <v>6.767739740796147</v>
      </c>
      <c r="T72" s="423">
        <f>N72+F72-C72</f>
        <v>0</v>
      </c>
    </row>
    <row r="73" spans="1:20" ht="18" customHeight="1">
      <c r="A73" s="379">
        <v>9.1</v>
      </c>
      <c r="B73" s="655" t="s">
        <v>651</v>
      </c>
      <c r="C73" s="543">
        <f>D73+E73</f>
        <v>26144011</v>
      </c>
      <c r="D73" s="456">
        <v>24903034</v>
      </c>
      <c r="E73" s="456">
        <v>1240977</v>
      </c>
      <c r="F73" s="543">
        <f>G73+H73+I73+J73+K73+L73+M73</f>
        <v>25031153</v>
      </c>
      <c r="G73" s="456">
        <v>151210</v>
      </c>
      <c r="H73" s="456">
        <v>584419</v>
      </c>
      <c r="I73" s="456">
        <v>12725</v>
      </c>
      <c r="J73" s="456">
        <v>383709</v>
      </c>
      <c r="K73" s="456">
        <v>2406</v>
      </c>
      <c r="L73" s="456">
        <v>23896684</v>
      </c>
      <c r="M73" s="456">
        <v>0</v>
      </c>
      <c r="N73" s="543">
        <f>O73+P73+Q73</f>
        <v>1112858</v>
      </c>
      <c r="O73" s="456">
        <v>1112858</v>
      </c>
      <c r="P73" s="456">
        <v>0</v>
      </c>
      <c r="Q73" s="456">
        <v>0</v>
      </c>
      <c r="R73" s="543">
        <f aca="true" t="shared" si="28" ref="R73:R78">Q73+P73+O73+M73+L73</f>
        <v>25009542</v>
      </c>
      <c r="S73" s="659">
        <f t="shared" si="17"/>
        <v>4.532228299671214</v>
      </c>
      <c r="T73" s="423">
        <f>N73+F73-C73</f>
        <v>0</v>
      </c>
    </row>
    <row r="74" spans="1:20" ht="18" customHeight="1">
      <c r="A74" s="379">
        <v>9.2</v>
      </c>
      <c r="B74" s="655" t="s">
        <v>652</v>
      </c>
      <c r="C74" s="543">
        <f>D74+E74</f>
        <v>8132783</v>
      </c>
      <c r="D74" s="456">
        <v>7470404</v>
      </c>
      <c r="E74" s="456">
        <v>662379</v>
      </c>
      <c r="F74" s="543">
        <f>G74+H74+I74+J74+K74+L74+M74</f>
        <v>7820971</v>
      </c>
      <c r="G74" s="456">
        <v>17000</v>
      </c>
      <c r="H74" s="456">
        <v>905718</v>
      </c>
      <c r="I74" s="456">
        <v>78461</v>
      </c>
      <c r="J74" s="456">
        <v>85813</v>
      </c>
      <c r="K74" s="456">
        <v>580</v>
      </c>
      <c r="L74" s="456">
        <v>6733399</v>
      </c>
      <c r="M74" s="456">
        <v>0</v>
      </c>
      <c r="N74" s="543">
        <f>O74+P74+Q74</f>
        <v>311812</v>
      </c>
      <c r="O74" s="456">
        <v>311812</v>
      </c>
      <c r="P74" s="456">
        <v>0</v>
      </c>
      <c r="Q74" s="456">
        <v>0</v>
      </c>
      <c r="R74" s="543">
        <f t="shared" si="28"/>
        <v>7045211</v>
      </c>
      <c r="S74" s="660">
        <f>(G74+H74+I74+J74+K74)*100/F74</f>
        <v>13.905843660588948</v>
      </c>
      <c r="T74" s="423">
        <f>N74+F74-C74</f>
        <v>0</v>
      </c>
    </row>
    <row r="75" spans="1:20" ht="15.75" customHeight="1" thickBot="1">
      <c r="A75" s="223">
        <v>9.3</v>
      </c>
      <c r="B75" s="661" t="s">
        <v>733</v>
      </c>
      <c r="C75" s="547">
        <f>D75+E75</f>
        <v>1400</v>
      </c>
      <c r="D75" s="662">
        <v>0</v>
      </c>
      <c r="E75" s="662">
        <v>1400</v>
      </c>
      <c r="F75" s="547">
        <f>G75+H75+I75+J75+K75+L75+M75</f>
        <v>1400</v>
      </c>
      <c r="G75" s="662">
        <v>0</v>
      </c>
      <c r="H75" s="662">
        <v>1400</v>
      </c>
      <c r="I75" s="662">
        <v>0</v>
      </c>
      <c r="J75" s="662">
        <v>0</v>
      </c>
      <c r="K75" s="662">
        <v>0</v>
      </c>
      <c r="L75" s="662">
        <v>0</v>
      </c>
      <c r="M75" s="662">
        <v>0</v>
      </c>
      <c r="N75" s="547">
        <f>O75+P75+Q75</f>
        <v>0</v>
      </c>
      <c r="O75" s="662">
        <v>0</v>
      </c>
      <c r="P75" s="662">
        <v>0</v>
      </c>
      <c r="Q75" s="662">
        <v>0</v>
      </c>
      <c r="R75" s="547">
        <f t="shared" si="28"/>
        <v>0</v>
      </c>
      <c r="S75" s="663">
        <f>(G75+H75+I75+J75+K75)*100/F75</f>
        <v>100</v>
      </c>
      <c r="T75" s="423">
        <f>N75+F75-C75</f>
        <v>0</v>
      </c>
    </row>
    <row r="76" spans="1:20" ht="21" customHeight="1" thickTop="1">
      <c r="A76" s="548">
        <v>10</v>
      </c>
      <c r="B76" s="549" t="s">
        <v>443</v>
      </c>
      <c r="C76" s="550">
        <f>SUM(C77:C78)</f>
        <v>3199238</v>
      </c>
      <c r="D76" s="550">
        <f aca="true" t="shared" si="29" ref="D76:Q76">SUM(D77:D78)</f>
        <v>2761614</v>
      </c>
      <c r="E76" s="550">
        <f t="shared" si="29"/>
        <v>437624</v>
      </c>
      <c r="F76" s="550">
        <f t="shared" si="29"/>
        <v>1461318</v>
      </c>
      <c r="G76" s="550">
        <f t="shared" si="29"/>
        <v>0</v>
      </c>
      <c r="H76" s="550">
        <f t="shared" si="29"/>
        <v>538467</v>
      </c>
      <c r="I76" s="550">
        <f t="shared" si="29"/>
        <v>1300</v>
      </c>
      <c r="J76" s="550">
        <f t="shared" si="29"/>
        <v>541605</v>
      </c>
      <c r="K76" s="550">
        <f t="shared" si="29"/>
        <v>0</v>
      </c>
      <c r="L76" s="550">
        <f t="shared" si="29"/>
        <v>379946</v>
      </c>
      <c r="M76" s="550">
        <f t="shared" si="29"/>
        <v>0</v>
      </c>
      <c r="N76" s="550">
        <f t="shared" si="29"/>
        <v>1737920</v>
      </c>
      <c r="O76" s="550">
        <f t="shared" si="29"/>
        <v>229503</v>
      </c>
      <c r="P76" s="550">
        <f t="shared" si="29"/>
        <v>0</v>
      </c>
      <c r="Q76" s="550">
        <f t="shared" si="29"/>
        <v>1508417</v>
      </c>
      <c r="R76" s="550">
        <f t="shared" si="28"/>
        <v>2117866</v>
      </c>
      <c r="S76" s="551">
        <f t="shared" si="17"/>
        <v>73.99977280783511</v>
      </c>
      <c r="T76" s="423">
        <f t="shared" si="3"/>
        <v>0</v>
      </c>
    </row>
    <row r="77" spans="1:20" s="92" customFormat="1" ht="22.5" customHeight="1">
      <c r="A77" s="421">
        <v>10.1</v>
      </c>
      <c r="B77" s="621" t="s">
        <v>444</v>
      </c>
      <c r="C77" s="664">
        <f>D77+E77</f>
        <v>443656</v>
      </c>
      <c r="D77" s="665">
        <v>130509</v>
      </c>
      <c r="E77" s="665">
        <v>313147</v>
      </c>
      <c r="F77" s="664">
        <f>G77+H77+I77+J77+K77+L77+M77</f>
        <v>270633</v>
      </c>
      <c r="G77" s="665">
        <v>0</v>
      </c>
      <c r="H77" s="665">
        <v>226096</v>
      </c>
      <c r="I77" s="665">
        <v>0</v>
      </c>
      <c r="J77" s="665">
        <v>0</v>
      </c>
      <c r="K77" s="665">
        <v>0</v>
      </c>
      <c r="L77" s="665">
        <v>44537</v>
      </c>
      <c r="M77" s="665">
        <v>0</v>
      </c>
      <c r="N77" s="664">
        <f>O77+P77+Q77</f>
        <v>173023</v>
      </c>
      <c r="O77" s="665">
        <v>173023</v>
      </c>
      <c r="P77" s="665">
        <v>0</v>
      </c>
      <c r="Q77" s="665">
        <v>0</v>
      </c>
      <c r="R77" s="550">
        <f t="shared" si="28"/>
        <v>217560</v>
      </c>
      <c r="S77" s="552">
        <f t="shared" si="17"/>
        <v>83.54339640768126</v>
      </c>
      <c r="T77" s="423">
        <f t="shared" si="3"/>
        <v>0</v>
      </c>
    </row>
    <row r="78" spans="1:20" s="149" customFormat="1" ht="19.5" customHeight="1" thickBot="1">
      <c r="A78" s="422">
        <v>10.2</v>
      </c>
      <c r="B78" s="638" t="s">
        <v>647</v>
      </c>
      <c r="C78" s="547">
        <f>D78+E78</f>
        <v>2755582</v>
      </c>
      <c r="D78" s="457">
        <v>2631105</v>
      </c>
      <c r="E78" s="457">
        <v>124477</v>
      </c>
      <c r="F78" s="547">
        <f>G78+H78+I78+J78+K78+L78+M78</f>
        <v>1190685</v>
      </c>
      <c r="G78" s="457">
        <v>0</v>
      </c>
      <c r="H78" s="457">
        <v>312371</v>
      </c>
      <c r="I78" s="457">
        <v>1300</v>
      </c>
      <c r="J78" s="457">
        <v>541605</v>
      </c>
      <c r="K78" s="457">
        <v>0</v>
      </c>
      <c r="L78" s="457">
        <v>335409</v>
      </c>
      <c r="M78" s="457">
        <v>0</v>
      </c>
      <c r="N78" s="547">
        <f>O78+P78+Q78</f>
        <v>1564897</v>
      </c>
      <c r="O78" s="457">
        <v>56480</v>
      </c>
      <c r="P78" s="457">
        <v>0</v>
      </c>
      <c r="Q78" s="457">
        <v>1508417</v>
      </c>
      <c r="R78" s="547">
        <f t="shared" si="28"/>
        <v>1900306</v>
      </c>
      <c r="S78" s="558">
        <f t="shared" si="17"/>
        <v>71.83058491540584</v>
      </c>
      <c r="T78" s="423">
        <f t="shared" si="3"/>
        <v>0</v>
      </c>
    </row>
    <row r="79" spans="1:20" s="101" customFormat="1" ht="19.5" customHeight="1" thickTop="1">
      <c r="A79" s="1109" t="s">
        <v>384</v>
      </c>
      <c r="B79" s="1109"/>
      <c r="C79" s="1109"/>
      <c r="D79" s="1109"/>
      <c r="E79" s="1109"/>
      <c r="F79" s="1109"/>
      <c r="G79" s="1109"/>
      <c r="H79" s="119"/>
      <c r="I79" s="119"/>
      <c r="J79" s="119"/>
      <c r="K79" s="119"/>
      <c r="L79" s="994" t="s">
        <v>384</v>
      </c>
      <c r="M79" s="994"/>
      <c r="N79" s="994"/>
      <c r="O79" s="994"/>
      <c r="P79" s="994"/>
      <c r="Q79" s="994"/>
      <c r="R79" s="994"/>
      <c r="S79" s="994"/>
      <c r="T79" s="92"/>
    </row>
    <row r="80" spans="1:20" ht="15.75" customHeight="1" hidden="1">
      <c r="A80" s="1117" t="s">
        <v>43</v>
      </c>
      <c r="B80" s="1117"/>
      <c r="C80" s="1117"/>
      <c r="D80" s="1117"/>
      <c r="E80" s="1117"/>
      <c r="F80" s="1117"/>
      <c r="G80" s="1117"/>
      <c r="H80" s="119"/>
      <c r="I80" s="119"/>
      <c r="J80" s="119"/>
      <c r="K80" s="119"/>
      <c r="L80" s="1068" t="s">
        <v>659</v>
      </c>
      <c r="M80" s="1068"/>
      <c r="N80" s="1068"/>
      <c r="O80" s="1068"/>
      <c r="P80" s="1068"/>
      <c r="Q80" s="1068"/>
      <c r="R80" s="1068"/>
      <c r="S80" s="1068"/>
      <c r="T80" s="149"/>
    </row>
    <row r="81" spans="1:20" ht="15.75" customHeight="1" hidden="1">
      <c r="A81" s="101"/>
      <c r="B81" s="119"/>
      <c r="C81" s="119"/>
      <c r="D81" s="119"/>
      <c r="E81" s="119"/>
      <c r="F81" s="119"/>
      <c r="G81" s="119"/>
      <c r="H81" s="119"/>
      <c r="I81" s="119"/>
      <c r="J81" s="119"/>
      <c r="K81" s="119"/>
      <c r="L81" s="1068" t="s">
        <v>656</v>
      </c>
      <c r="M81" s="1068"/>
      <c r="N81" s="1068"/>
      <c r="O81" s="1068"/>
      <c r="P81" s="1068"/>
      <c r="Q81" s="1068"/>
      <c r="R81" s="1068"/>
      <c r="S81" s="1068"/>
      <c r="T81" s="101"/>
    </row>
    <row r="82" spans="1:19" ht="15.75" customHeight="1" hidden="1">
      <c r="A82" s="156" t="s">
        <v>188</v>
      </c>
      <c r="B82" s="119"/>
      <c r="C82" s="119"/>
      <c r="D82" s="119"/>
      <c r="E82" s="119"/>
      <c r="F82" s="119"/>
      <c r="G82" s="119"/>
      <c r="H82" s="119"/>
      <c r="I82" s="119"/>
      <c r="J82" s="119"/>
      <c r="K82" s="119"/>
      <c r="L82" s="119"/>
      <c r="M82" s="119"/>
      <c r="N82" s="119"/>
      <c r="O82" s="119"/>
      <c r="P82" s="119"/>
      <c r="Q82" s="119"/>
      <c r="R82" s="119"/>
      <c r="S82" s="119"/>
    </row>
    <row r="83" spans="2:19" ht="15.75" customHeight="1" hidden="1">
      <c r="B83" s="119"/>
      <c r="C83" s="119"/>
      <c r="D83" s="119"/>
      <c r="E83" s="119"/>
      <c r="F83" s="119"/>
      <c r="G83" s="119"/>
      <c r="H83" s="119"/>
      <c r="I83" s="119"/>
      <c r="J83" s="119"/>
      <c r="K83" s="119"/>
      <c r="L83" s="119"/>
      <c r="M83" s="119"/>
      <c r="N83" s="119"/>
      <c r="O83" s="119"/>
      <c r="P83" s="119"/>
      <c r="Q83" s="119"/>
      <c r="R83" s="119"/>
      <c r="S83" s="119"/>
    </row>
    <row r="84" spans="1:19" ht="15.75" customHeight="1">
      <c r="A84" s="987" t="s">
        <v>43</v>
      </c>
      <c r="B84" s="987"/>
      <c r="C84" s="987"/>
      <c r="D84" s="987"/>
      <c r="E84" s="987"/>
      <c r="F84" s="987"/>
      <c r="G84" s="987"/>
      <c r="H84" s="100"/>
      <c r="I84" s="100"/>
      <c r="J84" s="100"/>
      <c r="K84" s="100"/>
      <c r="L84" s="1068" t="s">
        <v>660</v>
      </c>
      <c r="M84" s="1068"/>
      <c r="N84" s="1068"/>
      <c r="O84" s="1068"/>
      <c r="P84" s="1068"/>
      <c r="Q84" s="1068"/>
      <c r="R84" s="1068"/>
      <c r="S84" s="1068"/>
    </row>
    <row r="85" spans="1:19" ht="15.75" customHeight="1">
      <c r="A85" s="563"/>
      <c r="B85" s="100"/>
      <c r="C85" s="100"/>
      <c r="D85" s="100"/>
      <c r="E85" s="100"/>
      <c r="F85" s="100"/>
      <c r="G85" s="100"/>
      <c r="H85" s="100"/>
      <c r="I85" s="100"/>
      <c r="J85" s="100"/>
      <c r="K85" s="100"/>
      <c r="L85" s="1068" t="s">
        <v>656</v>
      </c>
      <c r="M85" s="1068"/>
      <c r="N85" s="1068"/>
      <c r="O85" s="1068"/>
      <c r="P85" s="1068"/>
      <c r="Q85" s="1068"/>
      <c r="R85" s="1068"/>
      <c r="S85" s="1068"/>
    </row>
    <row r="86" spans="1:19" ht="15.75" customHeight="1">
      <c r="A86" s="160"/>
      <c r="B86" s="119"/>
      <c r="C86" s="119"/>
      <c r="D86" s="119"/>
      <c r="E86" s="119"/>
      <c r="F86" s="119"/>
      <c r="G86" s="119"/>
      <c r="H86" s="119"/>
      <c r="I86" s="119"/>
      <c r="J86" s="119"/>
      <c r="K86" s="119"/>
      <c r="L86" s="119"/>
      <c r="M86" s="119"/>
      <c r="N86" s="119"/>
      <c r="O86" s="119"/>
      <c r="P86" s="119"/>
      <c r="Q86" s="119"/>
      <c r="R86" s="119"/>
      <c r="S86" s="119"/>
    </row>
    <row r="87" spans="1:19" ht="15.75" customHeight="1">
      <c r="A87" s="160"/>
      <c r="B87" s="119"/>
      <c r="C87" s="119"/>
      <c r="D87" s="119"/>
      <c r="E87" s="119"/>
      <c r="F87" s="119"/>
      <c r="G87" s="119"/>
      <c r="H87" s="119"/>
      <c r="I87" s="119"/>
      <c r="J87" s="119"/>
      <c r="K87" s="119"/>
      <c r="L87" s="119"/>
      <c r="M87" s="119"/>
      <c r="N87" s="119"/>
      <c r="O87" s="119"/>
      <c r="P87" s="119"/>
      <c r="Q87" s="119"/>
      <c r="R87" s="119"/>
      <c r="S87" s="119"/>
    </row>
    <row r="88" spans="1:19" ht="17.25" customHeight="1">
      <c r="A88" s="160"/>
      <c r="B88" s="119"/>
      <c r="C88" s="119"/>
      <c r="D88" s="119"/>
      <c r="E88" s="119"/>
      <c r="F88" s="119"/>
      <c r="G88" s="119"/>
      <c r="H88" s="119"/>
      <c r="I88" s="119"/>
      <c r="J88" s="119"/>
      <c r="K88" s="119"/>
      <c r="L88" s="119"/>
      <c r="M88" s="119"/>
      <c r="N88" s="119"/>
      <c r="O88" s="119"/>
      <c r="P88" s="119"/>
      <c r="Q88" s="119"/>
      <c r="R88" s="119"/>
      <c r="S88" s="119"/>
    </row>
    <row r="89" spans="1:19" ht="15.75" customHeight="1">
      <c r="A89" s="160"/>
      <c r="B89" s="119"/>
      <c r="C89" s="119"/>
      <c r="D89" s="119"/>
      <c r="E89" s="119"/>
      <c r="F89" s="119"/>
      <c r="G89" s="119"/>
      <c r="H89" s="119"/>
      <c r="I89" s="119"/>
      <c r="J89" s="119"/>
      <c r="K89" s="119"/>
      <c r="L89" s="119"/>
      <c r="M89" s="119"/>
      <c r="N89" s="119"/>
      <c r="O89" s="119"/>
      <c r="P89" s="119"/>
      <c r="Q89" s="119"/>
      <c r="R89" s="119"/>
      <c r="S89" s="119"/>
    </row>
    <row r="90" spans="1:19" ht="15.75" customHeight="1">
      <c r="A90" s="987" t="s">
        <v>390</v>
      </c>
      <c r="B90" s="987"/>
      <c r="C90" s="987"/>
      <c r="D90" s="987"/>
      <c r="E90" s="987"/>
      <c r="F90" s="987"/>
      <c r="G90" s="987"/>
      <c r="H90" s="119"/>
      <c r="I90" s="119"/>
      <c r="J90" s="119"/>
      <c r="K90" s="119"/>
      <c r="L90" s="1068" t="s">
        <v>2</v>
      </c>
      <c r="M90" s="1068"/>
      <c r="N90" s="1068"/>
      <c r="O90" s="1068"/>
      <c r="P90" s="1068"/>
      <c r="Q90" s="1068"/>
      <c r="R90" s="1068"/>
      <c r="S90" s="1068"/>
    </row>
  </sheetData>
  <sheetProtection/>
  <mergeCells count="49">
    <mergeCell ref="A1:D1"/>
    <mergeCell ref="E1:N1"/>
    <mergeCell ref="I9:I10"/>
    <mergeCell ref="Q9:Q10"/>
    <mergeCell ref="H9:H10"/>
    <mergeCell ref="P9:P10"/>
    <mergeCell ref="N7:Q7"/>
    <mergeCell ref="O4:S4"/>
    <mergeCell ref="N8:N10"/>
    <mergeCell ref="O8:Q8"/>
    <mergeCell ref="E2:N2"/>
    <mergeCell ref="O2:S2"/>
    <mergeCell ref="O3:S3"/>
    <mergeCell ref="A2:D2"/>
    <mergeCell ref="A3:D3"/>
    <mergeCell ref="E3:N3"/>
    <mergeCell ref="A80:G80"/>
    <mergeCell ref="L80:S80"/>
    <mergeCell ref="L81:S81"/>
    <mergeCell ref="C6:E6"/>
    <mergeCell ref="M9:M10"/>
    <mergeCell ref="J9:J10"/>
    <mergeCell ref="C7:C10"/>
    <mergeCell ref="D7:E8"/>
    <mergeCell ref="E9:E10"/>
    <mergeCell ref="R7:R10"/>
    <mergeCell ref="E4:N4"/>
    <mergeCell ref="D9:D10"/>
    <mergeCell ref="L79:S79"/>
    <mergeCell ref="A79:G79"/>
    <mergeCell ref="A11:B11"/>
    <mergeCell ref="F6:R6"/>
    <mergeCell ref="A4:D4"/>
    <mergeCell ref="S6:S10"/>
    <mergeCell ref="U14:AA14"/>
    <mergeCell ref="G8:M8"/>
    <mergeCell ref="A6:B10"/>
    <mergeCell ref="F7:M7"/>
    <mergeCell ref="F8:F10"/>
    <mergeCell ref="G9:G10"/>
    <mergeCell ref="A12:B12"/>
    <mergeCell ref="O9:O10"/>
    <mergeCell ref="K9:K10"/>
    <mergeCell ref="L9:L10"/>
    <mergeCell ref="A90:G90"/>
    <mergeCell ref="L90:S90"/>
    <mergeCell ref="A84:G84"/>
    <mergeCell ref="L84:S84"/>
    <mergeCell ref="L85:S85"/>
  </mergeCells>
  <printOptions/>
  <pageMargins left="0" right="0" top="0.25" bottom="0.25"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9"/>
  </sheetPr>
  <dimension ref="A1:DC89"/>
  <sheetViews>
    <sheetView zoomScalePageLayoutView="0" workbookViewId="0" topLeftCell="A4">
      <selection activeCell="H14" sqref="H14"/>
    </sheetView>
  </sheetViews>
  <sheetFormatPr defaultColWidth="9.00390625" defaultRowHeight="15.75"/>
  <cols>
    <col min="1" max="1" width="3.25390625" style="76" customWidth="1"/>
    <col min="2" max="2" width="18.375" style="76" customWidth="1"/>
    <col min="3" max="3" width="7.375" style="76" customWidth="1"/>
    <col min="4" max="10" width="6.625" style="139" customWidth="1"/>
    <col min="11" max="11" width="5.625" style="139" customWidth="1"/>
    <col min="12" max="18" width="6.625" style="139" customWidth="1"/>
    <col min="19" max="19" width="6.25390625" style="76" customWidth="1"/>
    <col min="20" max="21" width="7.00390625" style="76" customWidth="1"/>
    <col min="22" max="16384" width="9.00390625" style="76" customWidth="1"/>
  </cols>
  <sheetData>
    <row r="1" spans="1:19" ht="26.25" customHeight="1">
      <c r="A1" s="9" t="s">
        <v>140</v>
      </c>
      <c r="B1" s="9"/>
      <c r="C1" s="9"/>
      <c r="D1" s="529"/>
      <c r="E1" s="529"/>
      <c r="F1" s="1125" t="s">
        <v>325</v>
      </c>
      <c r="G1" s="1125"/>
      <c r="H1" s="1125"/>
      <c r="I1" s="1125"/>
      <c r="J1" s="1125"/>
      <c r="K1" s="1125"/>
      <c r="L1" s="1125"/>
      <c r="M1" s="1125"/>
      <c r="N1" s="1125"/>
      <c r="O1" s="1125"/>
      <c r="P1" s="204" t="s">
        <v>379</v>
      </c>
      <c r="Q1" s="204"/>
      <c r="R1" s="204"/>
      <c r="S1" s="204"/>
    </row>
    <row r="2" spans="1:19" ht="21" customHeight="1">
      <c r="A2" s="996" t="s">
        <v>367</v>
      </c>
      <c r="B2" s="996"/>
      <c r="C2" s="996"/>
      <c r="D2" s="996"/>
      <c r="E2" s="205"/>
      <c r="F2" s="1162" t="s">
        <v>171</v>
      </c>
      <c r="G2" s="1162"/>
      <c r="H2" s="1162"/>
      <c r="I2" s="1162"/>
      <c r="J2" s="1162"/>
      <c r="K2" s="1162"/>
      <c r="L2" s="1162"/>
      <c r="M2" s="1162"/>
      <c r="N2" s="1162"/>
      <c r="O2" s="1162"/>
      <c r="P2" s="1160" t="s">
        <v>388</v>
      </c>
      <c r="Q2" s="1160"/>
      <c r="R2" s="1160"/>
      <c r="S2" s="1160"/>
    </row>
    <row r="3" spans="1:19" ht="18.75" customHeight="1">
      <c r="A3" s="996" t="s">
        <v>368</v>
      </c>
      <c r="B3" s="996"/>
      <c r="C3" s="996"/>
      <c r="D3" s="996"/>
      <c r="E3" s="529"/>
      <c r="F3" s="987" t="s">
        <v>0</v>
      </c>
      <c r="G3" s="987"/>
      <c r="H3" s="987"/>
      <c r="I3" s="987"/>
      <c r="J3" s="987"/>
      <c r="K3" s="987"/>
      <c r="L3" s="987"/>
      <c r="M3" s="987"/>
      <c r="N3" s="987"/>
      <c r="O3" s="987"/>
      <c r="P3" s="21" t="s">
        <v>378</v>
      </c>
      <c r="Q3" s="21"/>
      <c r="R3" s="21"/>
      <c r="S3" s="21"/>
    </row>
    <row r="4" spans="1:19" ht="16.5" customHeight="1">
      <c r="A4" s="9" t="s">
        <v>113</v>
      </c>
      <c r="B4" s="9"/>
      <c r="C4" s="9"/>
      <c r="D4" s="9"/>
      <c r="E4" s="9"/>
      <c r="F4" s="1106" t="s">
        <v>1</v>
      </c>
      <c r="G4" s="1106"/>
      <c r="H4" s="1106"/>
      <c r="I4" s="1106"/>
      <c r="J4" s="1106"/>
      <c r="K4" s="1106"/>
      <c r="L4" s="1106"/>
      <c r="M4" s="1106"/>
      <c r="N4" s="1106"/>
      <c r="O4" s="1106"/>
      <c r="P4" s="1161" t="s">
        <v>392</v>
      </c>
      <c r="Q4" s="1161"/>
      <c r="R4" s="1161"/>
      <c r="S4" s="1161"/>
    </row>
    <row r="5" spans="2:19" ht="15.75" customHeight="1">
      <c r="B5" s="80"/>
      <c r="C5" s="80"/>
      <c r="D5" s="529"/>
      <c r="E5" s="529"/>
      <c r="F5" s="529"/>
      <c r="G5" s="529"/>
      <c r="H5" s="529"/>
      <c r="I5" s="529"/>
      <c r="J5" s="529"/>
      <c r="K5" s="529"/>
      <c r="L5" s="529"/>
      <c r="M5" s="529"/>
      <c r="N5" s="529"/>
      <c r="O5" s="140"/>
      <c r="P5" s="140" t="s">
        <v>109</v>
      </c>
      <c r="Q5" s="140"/>
      <c r="R5" s="140"/>
      <c r="S5" s="140"/>
    </row>
    <row r="6" spans="1:19" s="113" customFormat="1" ht="24.75" customHeight="1">
      <c r="A6" s="1064" t="s">
        <v>294</v>
      </c>
      <c r="B6" s="1065"/>
      <c r="C6" s="1156" t="s">
        <v>162</v>
      </c>
      <c r="D6" s="1141"/>
      <c r="E6" s="1142"/>
      <c r="F6" s="1140" t="s">
        <v>163</v>
      </c>
      <c r="G6" s="1141"/>
      <c r="H6" s="1141"/>
      <c r="I6" s="1141"/>
      <c r="J6" s="1141"/>
      <c r="K6" s="1141"/>
      <c r="L6" s="1141"/>
      <c r="M6" s="1141"/>
      <c r="N6" s="1141"/>
      <c r="O6" s="1141"/>
      <c r="P6" s="1141"/>
      <c r="Q6" s="1142"/>
      <c r="R6" s="1143" t="s">
        <v>99</v>
      </c>
      <c r="S6" s="1143" t="s">
        <v>321</v>
      </c>
    </row>
    <row r="7" spans="1:29" s="207" customFormat="1" ht="25.5" customHeight="1">
      <c r="A7" s="1066"/>
      <c r="B7" s="1067"/>
      <c r="C7" s="1143" t="s">
        <v>210</v>
      </c>
      <c r="D7" s="1157" t="s">
        <v>106</v>
      </c>
      <c r="E7" s="1149"/>
      <c r="F7" s="1140" t="s">
        <v>24</v>
      </c>
      <c r="G7" s="1141"/>
      <c r="H7" s="1141"/>
      <c r="I7" s="1141"/>
      <c r="J7" s="1141"/>
      <c r="K7" s="1141"/>
      <c r="L7" s="1141"/>
      <c r="M7" s="1142"/>
      <c r="N7" s="1147" t="s">
        <v>260</v>
      </c>
      <c r="O7" s="1148"/>
      <c r="P7" s="1148"/>
      <c r="Q7" s="1149"/>
      <c r="R7" s="1144"/>
      <c r="S7" s="1144"/>
      <c r="T7" s="206"/>
      <c r="U7" s="206"/>
      <c r="V7" s="206"/>
      <c r="W7" s="206"/>
      <c r="X7" s="206"/>
      <c r="Y7" s="206"/>
      <c r="Z7" s="206"/>
      <c r="AA7" s="206"/>
      <c r="AB7" s="206"/>
      <c r="AC7" s="206"/>
    </row>
    <row r="8" spans="1:19" s="113" customFormat="1" ht="21" customHeight="1">
      <c r="A8" s="1066"/>
      <c r="B8" s="1067"/>
      <c r="C8" s="1144"/>
      <c r="D8" s="1158"/>
      <c r="E8" s="1159"/>
      <c r="F8" s="1138" t="s">
        <v>164</v>
      </c>
      <c r="G8" s="1137" t="s">
        <v>106</v>
      </c>
      <c r="H8" s="1137"/>
      <c r="I8" s="1137"/>
      <c r="J8" s="1137"/>
      <c r="K8" s="1137"/>
      <c r="L8" s="1137"/>
      <c r="M8" s="1137"/>
      <c r="N8" s="1143" t="s">
        <v>146</v>
      </c>
      <c r="O8" s="1138" t="s">
        <v>106</v>
      </c>
      <c r="P8" s="1138"/>
      <c r="Q8" s="1138"/>
      <c r="R8" s="1144"/>
      <c r="S8" s="1144"/>
    </row>
    <row r="9" spans="1:19" s="113" customFormat="1" ht="15.75" customHeight="1">
      <c r="A9" s="1066"/>
      <c r="B9" s="1067"/>
      <c r="C9" s="1144"/>
      <c r="D9" s="1143" t="s">
        <v>247</v>
      </c>
      <c r="E9" s="1143" t="s">
        <v>185</v>
      </c>
      <c r="F9" s="1138"/>
      <c r="G9" s="1137" t="s">
        <v>285</v>
      </c>
      <c r="H9" s="1138" t="s">
        <v>98</v>
      </c>
      <c r="I9" s="1138" t="s">
        <v>284</v>
      </c>
      <c r="J9" s="1138" t="s">
        <v>282</v>
      </c>
      <c r="K9" s="1138" t="s">
        <v>281</v>
      </c>
      <c r="L9" s="1146" t="s">
        <v>279</v>
      </c>
      <c r="M9" s="1146" t="s">
        <v>280</v>
      </c>
      <c r="N9" s="1144"/>
      <c r="O9" s="1151" t="s">
        <v>283</v>
      </c>
      <c r="P9" s="1151" t="s">
        <v>26</v>
      </c>
      <c r="Q9" s="1150" t="s">
        <v>27</v>
      </c>
      <c r="R9" s="1144"/>
      <c r="S9" s="1144"/>
    </row>
    <row r="10" spans="1:19" s="113" customFormat="1" ht="78.75" customHeight="1">
      <c r="A10" s="1154"/>
      <c r="B10" s="1155"/>
      <c r="C10" s="1145"/>
      <c r="D10" s="1145"/>
      <c r="E10" s="1145"/>
      <c r="F10" s="1138"/>
      <c r="G10" s="1137"/>
      <c r="H10" s="1138"/>
      <c r="I10" s="1138"/>
      <c r="J10" s="1138"/>
      <c r="K10" s="1138"/>
      <c r="L10" s="1146"/>
      <c r="M10" s="1146"/>
      <c r="N10" s="1145"/>
      <c r="O10" s="1153"/>
      <c r="P10" s="1152"/>
      <c r="Q10" s="1150"/>
      <c r="R10" s="1145"/>
      <c r="S10" s="1145"/>
    </row>
    <row r="11" spans="1:19" ht="15.75" customHeight="1">
      <c r="A11" s="1110" t="s">
        <v>105</v>
      </c>
      <c r="B11" s="1111"/>
      <c r="C11" s="384">
        <v>1</v>
      </c>
      <c r="D11" s="384">
        <v>2</v>
      </c>
      <c r="E11" s="384">
        <v>3</v>
      </c>
      <c r="F11" s="384">
        <v>4</v>
      </c>
      <c r="G11" s="384">
        <v>5</v>
      </c>
      <c r="H11" s="384">
        <v>6</v>
      </c>
      <c r="I11" s="384">
        <v>7</v>
      </c>
      <c r="J11" s="384">
        <v>8</v>
      </c>
      <c r="K11" s="384">
        <v>9</v>
      </c>
      <c r="L11" s="384">
        <v>10</v>
      </c>
      <c r="M11" s="384">
        <v>11</v>
      </c>
      <c r="N11" s="384">
        <v>12</v>
      </c>
      <c r="O11" s="384">
        <v>13</v>
      </c>
      <c r="P11" s="384">
        <v>14</v>
      </c>
      <c r="Q11" s="384">
        <v>15</v>
      </c>
      <c r="R11" s="384">
        <v>16</v>
      </c>
      <c r="S11" s="384">
        <v>17</v>
      </c>
    </row>
    <row r="12" spans="1:23" ht="23.25" customHeight="1">
      <c r="A12" s="1098" t="s">
        <v>146</v>
      </c>
      <c r="B12" s="1099"/>
      <c r="C12" s="363">
        <f>C13+C24</f>
        <v>13826</v>
      </c>
      <c r="D12" s="363">
        <f aca="true" t="shared" si="0" ref="D12:R12">D13+D24</f>
        <v>6037</v>
      </c>
      <c r="E12" s="363">
        <f t="shared" si="0"/>
        <v>7789</v>
      </c>
      <c r="F12" s="363">
        <f t="shared" si="0"/>
        <v>11487</v>
      </c>
      <c r="G12" s="363">
        <f t="shared" si="0"/>
        <v>145</v>
      </c>
      <c r="H12" s="363">
        <f t="shared" si="0"/>
        <v>6643</v>
      </c>
      <c r="I12" s="363">
        <f t="shared" si="0"/>
        <v>281</v>
      </c>
      <c r="J12" s="363">
        <f t="shared" si="0"/>
        <v>352</v>
      </c>
      <c r="K12" s="363">
        <f t="shared" si="0"/>
        <v>13</v>
      </c>
      <c r="L12" s="363">
        <f t="shared" si="0"/>
        <v>3790</v>
      </c>
      <c r="M12" s="363">
        <f t="shared" si="0"/>
        <v>263</v>
      </c>
      <c r="N12" s="363">
        <f t="shared" si="0"/>
        <v>2339</v>
      </c>
      <c r="O12" s="363">
        <f t="shared" si="0"/>
        <v>1411</v>
      </c>
      <c r="P12" s="363">
        <f t="shared" si="0"/>
        <v>18</v>
      </c>
      <c r="Q12" s="363">
        <f t="shared" si="0"/>
        <v>910</v>
      </c>
      <c r="R12" s="363">
        <f t="shared" si="0"/>
        <v>6392</v>
      </c>
      <c r="S12" s="530">
        <f>(G12+H12+I12+J12+K12)*100/F12</f>
        <v>64.71663619744058</v>
      </c>
      <c r="T12" s="334">
        <f>N12+F12-C12</f>
        <v>0</v>
      </c>
      <c r="U12" s="447">
        <f>N12/F12*100</f>
        <v>20.362148515713415</v>
      </c>
      <c r="V12" s="398">
        <f>G12+H12+I12+J12+K12</f>
        <v>7434</v>
      </c>
      <c r="W12" s="430"/>
    </row>
    <row r="13" spans="1:27" ht="21.75" customHeight="1">
      <c r="A13" s="531" t="s">
        <v>14</v>
      </c>
      <c r="B13" s="532" t="s">
        <v>393</v>
      </c>
      <c r="C13" s="363">
        <f>SUM(C14:C23)</f>
        <v>619</v>
      </c>
      <c r="D13" s="363">
        <f aca="true" t="shared" si="1" ref="D13:R13">SUM(D14:D23)</f>
        <v>323</v>
      </c>
      <c r="E13" s="363">
        <f t="shared" si="1"/>
        <v>296</v>
      </c>
      <c r="F13" s="363">
        <f t="shared" si="1"/>
        <v>428</v>
      </c>
      <c r="G13" s="363">
        <f t="shared" si="1"/>
        <v>23</v>
      </c>
      <c r="H13" s="363">
        <f t="shared" si="1"/>
        <v>212</v>
      </c>
      <c r="I13" s="363">
        <f t="shared" si="1"/>
        <v>6</v>
      </c>
      <c r="J13" s="363">
        <f t="shared" si="1"/>
        <v>11</v>
      </c>
      <c r="K13" s="363">
        <f t="shared" si="1"/>
        <v>0</v>
      </c>
      <c r="L13" s="363">
        <f t="shared" si="1"/>
        <v>176</v>
      </c>
      <c r="M13" s="363">
        <f t="shared" si="1"/>
        <v>0</v>
      </c>
      <c r="N13" s="363">
        <f t="shared" si="1"/>
        <v>191</v>
      </c>
      <c r="O13" s="363">
        <f t="shared" si="1"/>
        <v>75</v>
      </c>
      <c r="P13" s="363">
        <f t="shared" si="1"/>
        <v>3</v>
      </c>
      <c r="Q13" s="363">
        <f t="shared" si="1"/>
        <v>113</v>
      </c>
      <c r="R13" s="363">
        <f t="shared" si="1"/>
        <v>367</v>
      </c>
      <c r="S13" s="530">
        <f aca="true" t="shared" si="2" ref="S13:S23">(G13+H13+I13+J13+K13)*100/F13</f>
        <v>58.87850467289719</v>
      </c>
      <c r="T13" s="334">
        <f aca="true" t="shared" si="3" ref="T13:T77">N13+F13-C13</f>
        <v>0</v>
      </c>
      <c r="U13" s="448"/>
      <c r="V13" s="448"/>
      <c r="W13" s="448"/>
      <c r="X13" s="448"/>
      <c r="Y13" s="448"/>
      <c r="Z13" s="448"/>
      <c r="AA13" s="448"/>
    </row>
    <row r="14" spans="1:21" ht="17.25" customHeight="1">
      <c r="A14" s="220">
        <v>1</v>
      </c>
      <c r="B14" s="559" t="s">
        <v>394</v>
      </c>
      <c r="C14" s="363">
        <f>D14+E14</f>
        <v>84</v>
      </c>
      <c r="D14" s="591">
        <v>73</v>
      </c>
      <c r="E14" s="591">
        <v>11</v>
      </c>
      <c r="F14" s="363">
        <f aca="true" t="shared" si="4" ref="F14:F23">G14+H14+I14+J14+K14+L14+M14</f>
        <v>50</v>
      </c>
      <c r="G14" s="591">
        <v>1</v>
      </c>
      <c r="H14" s="591">
        <v>14</v>
      </c>
      <c r="I14" s="591">
        <v>0</v>
      </c>
      <c r="J14" s="591">
        <v>0</v>
      </c>
      <c r="K14" s="591">
        <v>0</v>
      </c>
      <c r="L14" s="591">
        <v>35</v>
      </c>
      <c r="M14" s="591">
        <v>0</v>
      </c>
      <c r="N14" s="363">
        <f>O14+P14+Q14</f>
        <v>34</v>
      </c>
      <c r="O14" s="591">
        <v>8</v>
      </c>
      <c r="P14" s="591">
        <v>0</v>
      </c>
      <c r="Q14" s="591">
        <v>26</v>
      </c>
      <c r="R14" s="533">
        <f>Q14+P14+O14+M14+L14</f>
        <v>69</v>
      </c>
      <c r="S14" s="390">
        <f t="shared" si="2"/>
        <v>30</v>
      </c>
      <c r="T14" s="334">
        <f t="shared" si="3"/>
        <v>0</v>
      </c>
      <c r="U14" s="334"/>
    </row>
    <row r="15" spans="1:21" ht="18.75" customHeight="1">
      <c r="A15" s="220">
        <v>2</v>
      </c>
      <c r="B15" s="559" t="s">
        <v>395</v>
      </c>
      <c r="C15" s="363">
        <f aca="true" t="shared" si="5" ref="C15:C23">D15+E15</f>
        <v>75</v>
      </c>
      <c r="D15" s="591">
        <v>33</v>
      </c>
      <c r="E15" s="591">
        <v>42</v>
      </c>
      <c r="F15" s="363">
        <f t="shared" si="4"/>
        <v>48</v>
      </c>
      <c r="G15" s="591">
        <v>2</v>
      </c>
      <c r="H15" s="591">
        <v>34</v>
      </c>
      <c r="I15" s="591">
        <v>0</v>
      </c>
      <c r="J15" s="591">
        <v>2</v>
      </c>
      <c r="K15" s="591">
        <v>0</v>
      </c>
      <c r="L15" s="591">
        <v>10</v>
      </c>
      <c r="M15" s="591">
        <v>0</v>
      </c>
      <c r="N15" s="363">
        <f aca="true" t="shared" si="6" ref="N15:N23">O15+P15+Q15</f>
        <v>27</v>
      </c>
      <c r="O15" s="591">
        <v>14</v>
      </c>
      <c r="P15" s="591">
        <v>0</v>
      </c>
      <c r="Q15" s="591">
        <v>13</v>
      </c>
      <c r="R15" s="533">
        <f aca="true" t="shared" si="7" ref="R15:R23">Q15+P15+O15+M15+L15</f>
        <v>37</v>
      </c>
      <c r="S15" s="390">
        <f t="shared" si="2"/>
        <v>79.16666666666667</v>
      </c>
      <c r="T15" s="334">
        <f t="shared" si="3"/>
        <v>0</v>
      </c>
      <c r="U15" s="334"/>
    </row>
    <row r="16" spans="1:21" ht="18" customHeight="1">
      <c r="A16" s="220">
        <v>3</v>
      </c>
      <c r="B16" s="559" t="s">
        <v>396</v>
      </c>
      <c r="C16" s="363">
        <f t="shared" si="5"/>
        <v>80</v>
      </c>
      <c r="D16" s="591">
        <v>55</v>
      </c>
      <c r="E16" s="591">
        <v>25</v>
      </c>
      <c r="F16" s="363">
        <f t="shared" si="4"/>
        <v>45</v>
      </c>
      <c r="G16" s="591">
        <v>2</v>
      </c>
      <c r="H16" s="591">
        <v>18</v>
      </c>
      <c r="I16" s="591">
        <v>1</v>
      </c>
      <c r="J16" s="591">
        <v>0</v>
      </c>
      <c r="K16" s="591">
        <v>0</v>
      </c>
      <c r="L16" s="591">
        <v>24</v>
      </c>
      <c r="M16" s="591">
        <v>0</v>
      </c>
      <c r="N16" s="363">
        <f t="shared" si="6"/>
        <v>35</v>
      </c>
      <c r="O16" s="591">
        <v>6</v>
      </c>
      <c r="P16" s="591">
        <v>0</v>
      </c>
      <c r="Q16" s="591">
        <v>29</v>
      </c>
      <c r="R16" s="533">
        <f t="shared" si="7"/>
        <v>59</v>
      </c>
      <c r="S16" s="390">
        <f t="shared" si="2"/>
        <v>46.666666666666664</v>
      </c>
      <c r="T16" s="334">
        <f t="shared" si="3"/>
        <v>0</v>
      </c>
      <c r="U16" s="334"/>
    </row>
    <row r="17" spans="1:21" ht="18" customHeight="1">
      <c r="A17" s="220">
        <v>4</v>
      </c>
      <c r="B17" s="559" t="s">
        <v>397</v>
      </c>
      <c r="C17" s="363">
        <f t="shared" si="5"/>
        <v>69</v>
      </c>
      <c r="D17" s="591">
        <v>51</v>
      </c>
      <c r="E17" s="591">
        <v>18</v>
      </c>
      <c r="F17" s="363">
        <f t="shared" si="4"/>
        <v>30</v>
      </c>
      <c r="G17" s="591">
        <v>0</v>
      </c>
      <c r="H17" s="591">
        <v>17</v>
      </c>
      <c r="I17" s="591">
        <v>0</v>
      </c>
      <c r="J17" s="591">
        <v>2</v>
      </c>
      <c r="K17" s="591">
        <v>0</v>
      </c>
      <c r="L17" s="591">
        <v>11</v>
      </c>
      <c r="M17" s="591">
        <v>0</v>
      </c>
      <c r="N17" s="363">
        <f t="shared" si="6"/>
        <v>39</v>
      </c>
      <c r="O17" s="591">
        <v>15</v>
      </c>
      <c r="P17" s="591">
        <v>3</v>
      </c>
      <c r="Q17" s="591">
        <v>21</v>
      </c>
      <c r="R17" s="533">
        <f t="shared" si="7"/>
        <v>50</v>
      </c>
      <c r="S17" s="390">
        <f t="shared" si="2"/>
        <v>63.333333333333336</v>
      </c>
      <c r="T17" s="334">
        <f t="shared" si="3"/>
        <v>0</v>
      </c>
      <c r="U17" s="334"/>
    </row>
    <row r="18" spans="1:21" ht="18.75" customHeight="1">
      <c r="A18" s="220">
        <v>5</v>
      </c>
      <c r="B18" s="592" t="s">
        <v>398</v>
      </c>
      <c r="C18" s="363">
        <f t="shared" si="5"/>
        <v>53</v>
      </c>
      <c r="D18" s="591">
        <v>35</v>
      </c>
      <c r="E18" s="591">
        <v>18</v>
      </c>
      <c r="F18" s="363">
        <f t="shared" si="4"/>
        <v>32</v>
      </c>
      <c r="G18" s="591">
        <v>5</v>
      </c>
      <c r="H18" s="591">
        <v>11</v>
      </c>
      <c r="I18" s="591">
        <v>0</v>
      </c>
      <c r="J18" s="591">
        <v>0</v>
      </c>
      <c r="K18" s="591">
        <v>0</v>
      </c>
      <c r="L18" s="591">
        <v>16</v>
      </c>
      <c r="M18" s="591">
        <v>0</v>
      </c>
      <c r="N18" s="363">
        <f t="shared" si="6"/>
        <v>21</v>
      </c>
      <c r="O18" s="591">
        <v>6</v>
      </c>
      <c r="P18" s="591">
        <v>0</v>
      </c>
      <c r="Q18" s="591">
        <v>15</v>
      </c>
      <c r="R18" s="533">
        <f t="shared" si="7"/>
        <v>37</v>
      </c>
      <c r="S18" s="390">
        <f t="shared" si="2"/>
        <v>50</v>
      </c>
      <c r="T18" s="334">
        <f t="shared" si="3"/>
        <v>0</v>
      </c>
      <c r="U18" s="334"/>
    </row>
    <row r="19" spans="1:21" ht="19.5" customHeight="1">
      <c r="A19" s="220">
        <v>6</v>
      </c>
      <c r="B19" s="592" t="s">
        <v>644</v>
      </c>
      <c r="C19" s="363">
        <f t="shared" si="5"/>
        <v>52</v>
      </c>
      <c r="D19" s="593">
        <v>0</v>
      </c>
      <c r="E19" s="593">
        <v>52</v>
      </c>
      <c r="F19" s="363">
        <f t="shared" si="4"/>
        <v>52</v>
      </c>
      <c r="G19" s="593">
        <v>6</v>
      </c>
      <c r="H19" s="593">
        <v>34</v>
      </c>
      <c r="I19" s="593">
        <v>2</v>
      </c>
      <c r="J19" s="593">
        <v>2</v>
      </c>
      <c r="K19" s="593">
        <v>0</v>
      </c>
      <c r="L19" s="593">
        <v>8</v>
      </c>
      <c r="M19" s="593">
        <v>0</v>
      </c>
      <c r="N19" s="363">
        <f t="shared" si="6"/>
        <v>0</v>
      </c>
      <c r="O19" s="593">
        <v>0</v>
      </c>
      <c r="P19" s="593">
        <v>0</v>
      </c>
      <c r="Q19" s="593">
        <v>0</v>
      </c>
      <c r="R19" s="533">
        <f t="shared" si="7"/>
        <v>8</v>
      </c>
      <c r="S19" s="390">
        <f t="shared" si="2"/>
        <v>84.61538461538461</v>
      </c>
      <c r="T19" s="334">
        <f t="shared" si="3"/>
        <v>0</v>
      </c>
      <c r="U19" s="334"/>
    </row>
    <row r="20" spans="1:21" ht="18.75" customHeight="1">
      <c r="A20" s="220">
        <v>7</v>
      </c>
      <c r="B20" s="592" t="s">
        <v>654</v>
      </c>
      <c r="C20" s="363">
        <f t="shared" si="5"/>
        <v>50</v>
      </c>
      <c r="D20" s="593">
        <v>2</v>
      </c>
      <c r="E20" s="593">
        <v>48</v>
      </c>
      <c r="F20" s="363">
        <f t="shared" si="4"/>
        <v>49</v>
      </c>
      <c r="G20" s="593">
        <v>4</v>
      </c>
      <c r="H20" s="593">
        <v>30</v>
      </c>
      <c r="I20" s="593">
        <v>0</v>
      </c>
      <c r="J20" s="593">
        <v>2</v>
      </c>
      <c r="K20" s="593">
        <v>0</v>
      </c>
      <c r="L20" s="593">
        <v>13</v>
      </c>
      <c r="M20" s="593">
        <v>0</v>
      </c>
      <c r="N20" s="363">
        <f t="shared" si="6"/>
        <v>1</v>
      </c>
      <c r="O20" s="593">
        <v>1</v>
      </c>
      <c r="P20" s="593">
        <v>0</v>
      </c>
      <c r="Q20" s="593">
        <v>0</v>
      </c>
      <c r="R20" s="533">
        <f t="shared" si="7"/>
        <v>14</v>
      </c>
      <c r="S20" s="390">
        <f t="shared" si="2"/>
        <v>73.46938775510205</v>
      </c>
      <c r="T20" s="334">
        <f t="shared" si="3"/>
        <v>0</v>
      </c>
      <c r="U20" s="334"/>
    </row>
    <row r="21" spans="1:21" ht="18.75" customHeight="1">
      <c r="A21" s="220">
        <v>8</v>
      </c>
      <c r="B21" s="559" t="s">
        <v>399</v>
      </c>
      <c r="C21" s="363">
        <f t="shared" si="5"/>
        <v>71</v>
      </c>
      <c r="D21" s="593">
        <v>51</v>
      </c>
      <c r="E21" s="593">
        <v>20</v>
      </c>
      <c r="F21" s="363">
        <f t="shared" si="4"/>
        <v>53</v>
      </c>
      <c r="G21" s="593">
        <v>2</v>
      </c>
      <c r="H21" s="593">
        <v>13</v>
      </c>
      <c r="I21" s="593">
        <v>2</v>
      </c>
      <c r="J21" s="593">
        <v>2</v>
      </c>
      <c r="K21" s="593">
        <v>0</v>
      </c>
      <c r="L21" s="593">
        <v>34</v>
      </c>
      <c r="M21" s="593">
        <v>0</v>
      </c>
      <c r="N21" s="363">
        <f t="shared" si="6"/>
        <v>18</v>
      </c>
      <c r="O21" s="593">
        <v>9</v>
      </c>
      <c r="P21" s="593">
        <v>0</v>
      </c>
      <c r="Q21" s="593">
        <v>9</v>
      </c>
      <c r="R21" s="533">
        <f t="shared" si="7"/>
        <v>52</v>
      </c>
      <c r="S21" s="390">
        <f t="shared" si="2"/>
        <v>35.84905660377358</v>
      </c>
      <c r="T21" s="334">
        <f t="shared" si="3"/>
        <v>0</v>
      </c>
      <c r="U21" s="334"/>
    </row>
    <row r="22" spans="1:21" ht="18.75" customHeight="1">
      <c r="A22" s="220">
        <v>9</v>
      </c>
      <c r="B22" s="559" t="s">
        <v>445</v>
      </c>
      <c r="C22" s="363">
        <f>D22+E22</f>
        <v>67</v>
      </c>
      <c r="D22" s="591">
        <v>23</v>
      </c>
      <c r="E22" s="591">
        <v>44</v>
      </c>
      <c r="F22" s="363">
        <f>G22+H22+I22+J22+K22+L22+M22</f>
        <v>51</v>
      </c>
      <c r="G22" s="591">
        <v>1</v>
      </c>
      <c r="H22" s="591">
        <v>34</v>
      </c>
      <c r="I22" s="591">
        <v>1</v>
      </c>
      <c r="J22" s="591">
        <v>1</v>
      </c>
      <c r="K22" s="591">
        <v>0</v>
      </c>
      <c r="L22" s="591">
        <v>14</v>
      </c>
      <c r="M22" s="591">
        <v>0</v>
      </c>
      <c r="N22" s="363">
        <f>O22+P22+Q22</f>
        <v>16</v>
      </c>
      <c r="O22" s="591">
        <v>16</v>
      </c>
      <c r="P22" s="591">
        <v>0</v>
      </c>
      <c r="Q22" s="591">
        <v>0</v>
      </c>
      <c r="R22" s="594">
        <f t="shared" si="7"/>
        <v>30</v>
      </c>
      <c r="S22" s="390">
        <f t="shared" si="2"/>
        <v>72.54901960784314</v>
      </c>
      <c r="T22" s="334">
        <f t="shared" si="3"/>
        <v>0</v>
      </c>
      <c r="U22" s="334"/>
    </row>
    <row r="23" spans="1:21" ht="18.75" customHeight="1" thickBot="1">
      <c r="A23" s="221">
        <v>10</v>
      </c>
      <c r="B23" s="595" t="s">
        <v>655</v>
      </c>
      <c r="C23" s="534">
        <f t="shared" si="5"/>
        <v>18</v>
      </c>
      <c r="D23" s="596">
        <v>0</v>
      </c>
      <c r="E23" s="596">
        <v>18</v>
      </c>
      <c r="F23" s="534">
        <f t="shared" si="4"/>
        <v>18</v>
      </c>
      <c r="G23" s="596">
        <v>0</v>
      </c>
      <c r="H23" s="596">
        <v>7</v>
      </c>
      <c r="I23" s="596">
        <v>0</v>
      </c>
      <c r="J23" s="596">
        <v>0</v>
      </c>
      <c r="K23" s="596">
        <v>0</v>
      </c>
      <c r="L23" s="596">
        <v>11</v>
      </c>
      <c r="M23" s="596">
        <v>0</v>
      </c>
      <c r="N23" s="534">
        <f t="shared" si="6"/>
        <v>0</v>
      </c>
      <c r="O23" s="596">
        <v>0</v>
      </c>
      <c r="P23" s="596">
        <v>0</v>
      </c>
      <c r="Q23" s="596">
        <v>0</v>
      </c>
      <c r="R23" s="535">
        <f t="shared" si="7"/>
        <v>11</v>
      </c>
      <c r="S23" s="368">
        <f t="shared" si="2"/>
        <v>38.888888888888886</v>
      </c>
      <c r="T23" s="334">
        <f t="shared" si="3"/>
        <v>0</v>
      </c>
      <c r="U23" s="334"/>
    </row>
    <row r="24" spans="1:35" s="211" customFormat="1" ht="17.25" customHeight="1" thickTop="1">
      <c r="A24" s="536" t="s">
        <v>15</v>
      </c>
      <c r="B24" s="537" t="s">
        <v>361</v>
      </c>
      <c r="C24" s="522">
        <f aca="true" t="shared" si="8" ref="C24:R24">C25+C36+C41+C48+C54+C58+C61+C67+C72+C76</f>
        <v>13207</v>
      </c>
      <c r="D24" s="522">
        <f t="shared" si="8"/>
        <v>5714</v>
      </c>
      <c r="E24" s="522">
        <f t="shared" si="8"/>
        <v>7493</v>
      </c>
      <c r="F24" s="522">
        <f t="shared" si="8"/>
        <v>11059</v>
      </c>
      <c r="G24" s="522">
        <f t="shared" si="8"/>
        <v>122</v>
      </c>
      <c r="H24" s="522">
        <f t="shared" si="8"/>
        <v>6431</v>
      </c>
      <c r="I24" s="522">
        <f t="shared" si="8"/>
        <v>275</v>
      </c>
      <c r="J24" s="522">
        <f t="shared" si="8"/>
        <v>341</v>
      </c>
      <c r="K24" s="522">
        <f t="shared" si="8"/>
        <v>13</v>
      </c>
      <c r="L24" s="522">
        <f t="shared" si="8"/>
        <v>3614</v>
      </c>
      <c r="M24" s="522">
        <f t="shared" si="8"/>
        <v>263</v>
      </c>
      <c r="N24" s="522">
        <f t="shared" si="8"/>
        <v>2148</v>
      </c>
      <c r="O24" s="522">
        <f t="shared" si="8"/>
        <v>1336</v>
      </c>
      <c r="P24" s="522">
        <f t="shared" si="8"/>
        <v>15</v>
      </c>
      <c r="Q24" s="522">
        <f t="shared" si="8"/>
        <v>797</v>
      </c>
      <c r="R24" s="522">
        <f t="shared" si="8"/>
        <v>6025</v>
      </c>
      <c r="S24" s="538">
        <f>(G24+H24+I24+J24+K24)*100/F24</f>
        <v>64.94258070349942</v>
      </c>
      <c r="T24" s="334">
        <f t="shared" si="3"/>
        <v>0</v>
      </c>
      <c r="U24" s="334"/>
      <c r="V24" s="219"/>
      <c r="W24" s="219"/>
      <c r="X24" s="219"/>
      <c r="Y24" s="219"/>
      <c r="Z24" s="219"/>
      <c r="AA24" s="219"/>
      <c r="AB24" s="219"/>
      <c r="AC24" s="219"/>
      <c r="AD24" s="219"/>
      <c r="AE24" s="219"/>
      <c r="AF24" s="219"/>
      <c r="AG24" s="219"/>
      <c r="AH24" s="219"/>
      <c r="AI24" s="219"/>
    </row>
    <row r="25" spans="1:35" s="187" customFormat="1" ht="19.5" customHeight="1">
      <c r="A25" s="531">
        <v>1</v>
      </c>
      <c r="B25" s="532" t="s">
        <v>400</v>
      </c>
      <c r="C25" s="363">
        <f>SUM(C26:C35)</f>
        <v>2601</v>
      </c>
      <c r="D25" s="363">
        <f aca="true" t="shared" si="9" ref="D25:R25">SUM(D26:D35)</f>
        <v>1461</v>
      </c>
      <c r="E25" s="363">
        <f t="shared" si="9"/>
        <v>1140</v>
      </c>
      <c r="F25" s="363">
        <f t="shared" si="9"/>
        <v>2117</v>
      </c>
      <c r="G25" s="363">
        <f t="shared" si="9"/>
        <v>22</v>
      </c>
      <c r="H25" s="363">
        <f t="shared" si="9"/>
        <v>995</v>
      </c>
      <c r="I25" s="363">
        <f t="shared" si="9"/>
        <v>89</v>
      </c>
      <c r="J25" s="363">
        <f t="shared" si="9"/>
        <v>44</v>
      </c>
      <c r="K25" s="363">
        <f t="shared" si="9"/>
        <v>9</v>
      </c>
      <c r="L25" s="363">
        <f t="shared" si="9"/>
        <v>922</v>
      </c>
      <c r="M25" s="363">
        <f t="shared" si="9"/>
        <v>36</v>
      </c>
      <c r="N25" s="363">
        <f t="shared" si="9"/>
        <v>484</v>
      </c>
      <c r="O25" s="363">
        <f t="shared" si="9"/>
        <v>296</v>
      </c>
      <c r="P25" s="363">
        <f t="shared" si="9"/>
        <v>14</v>
      </c>
      <c r="Q25" s="363">
        <f t="shared" si="9"/>
        <v>174</v>
      </c>
      <c r="R25" s="363">
        <f t="shared" si="9"/>
        <v>1442</v>
      </c>
      <c r="S25" s="538">
        <f aca="true" t="shared" si="10" ref="S25:S78">(G25+H25+I25+J25+K25)*100/F25</f>
        <v>54.74728389230042</v>
      </c>
      <c r="T25" s="334">
        <f t="shared" si="3"/>
        <v>0</v>
      </c>
      <c r="U25" s="334"/>
      <c r="V25" s="219"/>
      <c r="W25" s="219"/>
      <c r="X25" s="219"/>
      <c r="Y25" s="219"/>
      <c r="Z25" s="219"/>
      <c r="AA25" s="219"/>
      <c r="AB25" s="219"/>
      <c r="AC25" s="219"/>
      <c r="AD25" s="219"/>
      <c r="AE25" s="219"/>
      <c r="AF25" s="219"/>
      <c r="AG25" s="219"/>
      <c r="AH25" s="219"/>
      <c r="AI25" s="219"/>
    </row>
    <row r="26" spans="1:21" ht="18.75" customHeight="1">
      <c r="A26" s="220">
        <v>1.1</v>
      </c>
      <c r="B26" s="559" t="s">
        <v>401</v>
      </c>
      <c r="C26" s="363">
        <f>D26+E26</f>
        <v>97</v>
      </c>
      <c r="D26" s="597">
        <v>71</v>
      </c>
      <c r="E26" s="597">
        <v>26</v>
      </c>
      <c r="F26" s="363">
        <f>G26+H26+I26+J26+K26+L26+M26</f>
        <v>63</v>
      </c>
      <c r="G26" s="597">
        <v>0</v>
      </c>
      <c r="H26" s="597">
        <v>26</v>
      </c>
      <c r="I26" s="597">
        <v>2</v>
      </c>
      <c r="J26" s="597">
        <v>1</v>
      </c>
      <c r="K26" s="597">
        <v>0</v>
      </c>
      <c r="L26" s="598">
        <v>34</v>
      </c>
      <c r="M26" s="598">
        <v>0</v>
      </c>
      <c r="N26" s="363">
        <f>O26+P26+Q26</f>
        <v>34</v>
      </c>
      <c r="O26" s="599">
        <v>22</v>
      </c>
      <c r="P26" s="599">
        <v>0</v>
      </c>
      <c r="Q26" s="599">
        <v>12</v>
      </c>
      <c r="R26" s="533">
        <f>Q26+P26+O26+M26+L26</f>
        <v>68</v>
      </c>
      <c r="S26" s="390">
        <f t="shared" si="10"/>
        <v>46.03174603174603</v>
      </c>
      <c r="T26" s="334">
        <f t="shared" si="3"/>
        <v>0</v>
      </c>
      <c r="U26" s="334"/>
    </row>
    <row r="27" spans="1:21" ht="18.75" customHeight="1">
      <c r="A27" s="220">
        <v>1.2</v>
      </c>
      <c r="B27" s="559" t="s">
        <v>402</v>
      </c>
      <c r="C27" s="363">
        <f aca="true" t="shared" si="11" ref="C27:C33">D27+E27</f>
        <v>267</v>
      </c>
      <c r="D27" s="597">
        <v>233</v>
      </c>
      <c r="E27" s="597">
        <v>34</v>
      </c>
      <c r="F27" s="363">
        <f aca="true" t="shared" si="12" ref="F27:F33">G27+H27+I27+J27+K27+L27+M27</f>
        <v>224</v>
      </c>
      <c r="G27" s="597">
        <v>2</v>
      </c>
      <c r="H27" s="597">
        <v>35</v>
      </c>
      <c r="I27" s="597">
        <v>17</v>
      </c>
      <c r="J27" s="597">
        <v>5</v>
      </c>
      <c r="K27" s="597">
        <v>0</v>
      </c>
      <c r="L27" s="598">
        <v>159</v>
      </c>
      <c r="M27" s="598">
        <v>6</v>
      </c>
      <c r="N27" s="363">
        <f aca="true" t="shared" si="13" ref="N27:N33">O27+P27+Q27</f>
        <v>43</v>
      </c>
      <c r="O27" s="599">
        <v>13</v>
      </c>
      <c r="P27" s="599">
        <v>2</v>
      </c>
      <c r="Q27" s="599">
        <v>28</v>
      </c>
      <c r="R27" s="533">
        <f aca="true" t="shared" si="14" ref="R27:R33">Q27+P27+O27+M27+L27</f>
        <v>208</v>
      </c>
      <c r="S27" s="390">
        <f t="shared" si="10"/>
        <v>26.339285714285715</v>
      </c>
      <c r="T27" s="334">
        <f t="shared" si="3"/>
        <v>0</v>
      </c>
      <c r="U27" s="334"/>
    </row>
    <row r="28" spans="1:21" ht="17.25" customHeight="1">
      <c r="A28" s="220">
        <v>1.3</v>
      </c>
      <c r="B28" s="559" t="s">
        <v>403</v>
      </c>
      <c r="C28" s="363">
        <f t="shared" si="11"/>
        <v>272</v>
      </c>
      <c r="D28" s="597">
        <v>171</v>
      </c>
      <c r="E28" s="597">
        <v>101</v>
      </c>
      <c r="F28" s="363">
        <f t="shared" si="12"/>
        <v>212</v>
      </c>
      <c r="G28" s="597">
        <v>0</v>
      </c>
      <c r="H28" s="597">
        <v>87</v>
      </c>
      <c r="I28" s="597">
        <v>17</v>
      </c>
      <c r="J28" s="597">
        <v>4</v>
      </c>
      <c r="K28" s="597">
        <v>2</v>
      </c>
      <c r="L28" s="598">
        <v>94</v>
      </c>
      <c r="M28" s="598">
        <v>8</v>
      </c>
      <c r="N28" s="363">
        <f t="shared" si="13"/>
        <v>60</v>
      </c>
      <c r="O28" s="599">
        <v>33</v>
      </c>
      <c r="P28" s="599">
        <v>0</v>
      </c>
      <c r="Q28" s="599">
        <v>27</v>
      </c>
      <c r="R28" s="533">
        <f t="shared" si="14"/>
        <v>162</v>
      </c>
      <c r="S28" s="390">
        <f t="shared" si="10"/>
        <v>51.886792452830186</v>
      </c>
      <c r="T28" s="334">
        <f t="shared" si="3"/>
        <v>0</v>
      </c>
      <c r="U28" s="334"/>
    </row>
    <row r="29" spans="1:21" ht="18" customHeight="1">
      <c r="A29" s="220">
        <v>1.4</v>
      </c>
      <c r="B29" s="559" t="s">
        <v>404</v>
      </c>
      <c r="C29" s="363">
        <f t="shared" si="11"/>
        <v>346</v>
      </c>
      <c r="D29" s="597">
        <v>201</v>
      </c>
      <c r="E29" s="597">
        <v>145</v>
      </c>
      <c r="F29" s="363">
        <f t="shared" si="12"/>
        <v>287</v>
      </c>
      <c r="G29" s="597">
        <v>4</v>
      </c>
      <c r="H29" s="597">
        <v>135</v>
      </c>
      <c r="I29" s="597">
        <v>12</v>
      </c>
      <c r="J29" s="597">
        <v>2</v>
      </c>
      <c r="K29" s="597">
        <v>6</v>
      </c>
      <c r="L29" s="598">
        <v>128</v>
      </c>
      <c r="M29" s="598">
        <v>0</v>
      </c>
      <c r="N29" s="363">
        <f t="shared" si="13"/>
        <v>59</v>
      </c>
      <c r="O29" s="599">
        <v>38</v>
      </c>
      <c r="P29" s="599">
        <v>0</v>
      </c>
      <c r="Q29" s="599">
        <v>21</v>
      </c>
      <c r="R29" s="533">
        <f t="shared" si="14"/>
        <v>187</v>
      </c>
      <c r="S29" s="390">
        <f t="shared" si="10"/>
        <v>55.400696864111495</v>
      </c>
      <c r="T29" s="334">
        <f t="shared" si="3"/>
        <v>0</v>
      </c>
      <c r="U29" s="334"/>
    </row>
    <row r="30" spans="1:21" ht="18.75" customHeight="1">
      <c r="A30" s="220">
        <v>1.5</v>
      </c>
      <c r="B30" s="559" t="s">
        <v>405</v>
      </c>
      <c r="C30" s="363">
        <f t="shared" si="11"/>
        <v>309</v>
      </c>
      <c r="D30" s="597">
        <v>239</v>
      </c>
      <c r="E30" s="597">
        <v>70</v>
      </c>
      <c r="F30" s="363">
        <f t="shared" si="12"/>
        <v>217</v>
      </c>
      <c r="G30" s="597">
        <v>0</v>
      </c>
      <c r="H30" s="597">
        <v>65</v>
      </c>
      <c r="I30" s="597">
        <v>11</v>
      </c>
      <c r="J30" s="597">
        <v>10</v>
      </c>
      <c r="K30" s="597">
        <v>0</v>
      </c>
      <c r="L30" s="598">
        <v>130</v>
      </c>
      <c r="M30" s="598">
        <v>1</v>
      </c>
      <c r="N30" s="363">
        <f t="shared" si="13"/>
        <v>92</v>
      </c>
      <c r="O30" s="599">
        <v>53</v>
      </c>
      <c r="P30" s="599">
        <v>0</v>
      </c>
      <c r="Q30" s="599">
        <v>39</v>
      </c>
      <c r="R30" s="533">
        <f t="shared" si="14"/>
        <v>223</v>
      </c>
      <c r="S30" s="390">
        <f t="shared" si="10"/>
        <v>39.63133640552996</v>
      </c>
      <c r="T30" s="334">
        <f t="shared" si="3"/>
        <v>0</v>
      </c>
      <c r="U30" s="334"/>
    </row>
    <row r="31" spans="1:21" ht="18" customHeight="1">
      <c r="A31" s="220">
        <v>1.6</v>
      </c>
      <c r="B31" s="559" t="s">
        <v>406</v>
      </c>
      <c r="C31" s="363">
        <f t="shared" si="11"/>
        <v>358</v>
      </c>
      <c r="D31" s="597">
        <v>202</v>
      </c>
      <c r="E31" s="597">
        <v>156</v>
      </c>
      <c r="F31" s="363">
        <f t="shared" si="12"/>
        <v>282</v>
      </c>
      <c r="G31" s="597">
        <v>0</v>
      </c>
      <c r="H31" s="597">
        <v>139</v>
      </c>
      <c r="I31" s="597">
        <v>9</v>
      </c>
      <c r="J31" s="597">
        <v>5</v>
      </c>
      <c r="K31" s="597">
        <v>1</v>
      </c>
      <c r="L31" s="598">
        <v>128</v>
      </c>
      <c r="M31" s="598">
        <v>0</v>
      </c>
      <c r="N31" s="363">
        <f t="shared" si="13"/>
        <v>76</v>
      </c>
      <c r="O31" s="599">
        <v>46</v>
      </c>
      <c r="P31" s="599">
        <v>11</v>
      </c>
      <c r="Q31" s="599">
        <v>19</v>
      </c>
      <c r="R31" s="533">
        <f t="shared" si="14"/>
        <v>204</v>
      </c>
      <c r="S31" s="390">
        <f t="shared" si="10"/>
        <v>54.60992907801418</v>
      </c>
      <c r="T31" s="334">
        <f t="shared" si="3"/>
        <v>0</v>
      </c>
      <c r="U31" s="334"/>
    </row>
    <row r="32" spans="1:21" ht="16.5" customHeight="1">
      <c r="A32" s="220">
        <v>1.7</v>
      </c>
      <c r="B32" s="559" t="s">
        <v>407</v>
      </c>
      <c r="C32" s="363">
        <f t="shared" si="11"/>
        <v>211</v>
      </c>
      <c r="D32" s="597">
        <v>75</v>
      </c>
      <c r="E32" s="597">
        <v>136</v>
      </c>
      <c r="F32" s="363">
        <f t="shared" si="12"/>
        <v>191</v>
      </c>
      <c r="G32" s="597">
        <v>6</v>
      </c>
      <c r="H32" s="597">
        <v>99</v>
      </c>
      <c r="I32" s="597">
        <v>6</v>
      </c>
      <c r="J32" s="597">
        <v>1</v>
      </c>
      <c r="K32" s="597">
        <v>0</v>
      </c>
      <c r="L32" s="598">
        <v>65</v>
      </c>
      <c r="M32" s="598">
        <v>14</v>
      </c>
      <c r="N32" s="363">
        <f t="shared" si="13"/>
        <v>20</v>
      </c>
      <c r="O32" s="599">
        <v>12</v>
      </c>
      <c r="P32" s="599">
        <v>1</v>
      </c>
      <c r="Q32" s="599">
        <v>7</v>
      </c>
      <c r="R32" s="533">
        <f t="shared" si="14"/>
        <v>99</v>
      </c>
      <c r="S32" s="390">
        <f t="shared" si="10"/>
        <v>58.638743455497384</v>
      </c>
      <c r="T32" s="334">
        <f t="shared" si="3"/>
        <v>0</v>
      </c>
      <c r="U32" s="334"/>
    </row>
    <row r="33" spans="1:21" ht="17.25" customHeight="1">
      <c r="A33" s="220">
        <v>1.8</v>
      </c>
      <c r="B33" s="559" t="s">
        <v>408</v>
      </c>
      <c r="C33" s="363">
        <f t="shared" si="11"/>
        <v>346</v>
      </c>
      <c r="D33" s="597">
        <v>141</v>
      </c>
      <c r="E33" s="597">
        <v>205</v>
      </c>
      <c r="F33" s="363">
        <f t="shared" si="12"/>
        <v>321</v>
      </c>
      <c r="G33" s="597">
        <v>5</v>
      </c>
      <c r="H33" s="597">
        <v>185</v>
      </c>
      <c r="I33" s="597">
        <v>5</v>
      </c>
      <c r="J33" s="597">
        <v>2</v>
      </c>
      <c r="K33" s="597">
        <v>0</v>
      </c>
      <c r="L33" s="598">
        <v>118</v>
      </c>
      <c r="M33" s="598">
        <v>6</v>
      </c>
      <c r="N33" s="363">
        <f t="shared" si="13"/>
        <v>25</v>
      </c>
      <c r="O33" s="599">
        <v>25</v>
      </c>
      <c r="P33" s="599">
        <v>0</v>
      </c>
      <c r="Q33" s="599">
        <v>0</v>
      </c>
      <c r="R33" s="533">
        <f t="shared" si="14"/>
        <v>149</v>
      </c>
      <c r="S33" s="390">
        <f t="shared" si="10"/>
        <v>61.37071651090343</v>
      </c>
      <c r="T33" s="334">
        <f t="shared" si="3"/>
        <v>0</v>
      </c>
      <c r="U33" s="334"/>
    </row>
    <row r="34" spans="1:21" ht="18.75" customHeight="1">
      <c r="A34" s="220">
        <v>1.9</v>
      </c>
      <c r="B34" s="559" t="s">
        <v>409</v>
      </c>
      <c r="C34" s="363">
        <f>D34+E34</f>
        <v>333</v>
      </c>
      <c r="D34" s="597">
        <v>128</v>
      </c>
      <c r="E34" s="597">
        <v>205</v>
      </c>
      <c r="F34" s="363">
        <f>G34+H34+I34+J34+K34+L34+M34</f>
        <v>259</v>
      </c>
      <c r="G34" s="597">
        <v>3</v>
      </c>
      <c r="H34" s="597">
        <v>178</v>
      </c>
      <c r="I34" s="597">
        <v>10</v>
      </c>
      <c r="J34" s="597">
        <v>13</v>
      </c>
      <c r="K34" s="597">
        <v>0</v>
      </c>
      <c r="L34" s="598">
        <v>55</v>
      </c>
      <c r="M34" s="598">
        <v>0</v>
      </c>
      <c r="N34" s="363">
        <f>O34+P34+Q34</f>
        <v>74</v>
      </c>
      <c r="O34" s="599">
        <v>53</v>
      </c>
      <c r="P34" s="599">
        <v>0</v>
      </c>
      <c r="Q34" s="599">
        <v>21</v>
      </c>
      <c r="R34" s="533">
        <f>Q34+P34+O34+M34+L34</f>
        <v>129</v>
      </c>
      <c r="S34" s="390">
        <f t="shared" si="10"/>
        <v>78.76447876447877</v>
      </c>
      <c r="T34" s="334">
        <f t="shared" si="3"/>
        <v>0</v>
      </c>
      <c r="U34" s="334"/>
    </row>
    <row r="35" spans="1:60" s="187" customFormat="1" ht="21" customHeight="1" thickBot="1">
      <c r="A35" s="560">
        <v>1.1</v>
      </c>
      <c r="B35" s="600" t="s">
        <v>732</v>
      </c>
      <c r="C35" s="446">
        <f>D35+E35</f>
        <v>62</v>
      </c>
      <c r="D35" s="601">
        <v>0</v>
      </c>
      <c r="E35" s="601">
        <v>62</v>
      </c>
      <c r="F35" s="446">
        <f>G35+H35+I35+J35+K35+L35+M35</f>
        <v>61</v>
      </c>
      <c r="G35" s="601">
        <v>2</v>
      </c>
      <c r="H35" s="601">
        <v>46</v>
      </c>
      <c r="I35" s="601">
        <v>0</v>
      </c>
      <c r="J35" s="601">
        <v>1</v>
      </c>
      <c r="K35" s="601">
        <v>0</v>
      </c>
      <c r="L35" s="602">
        <v>11</v>
      </c>
      <c r="M35" s="602">
        <v>1</v>
      </c>
      <c r="N35" s="446">
        <f>O35+P35+Q35</f>
        <v>1</v>
      </c>
      <c r="O35" s="603">
        <v>1</v>
      </c>
      <c r="P35" s="603">
        <v>0</v>
      </c>
      <c r="Q35" s="603">
        <v>0</v>
      </c>
      <c r="R35" s="535">
        <f>Q35+P35+O35+M35+L35</f>
        <v>13</v>
      </c>
      <c r="S35" s="368">
        <f t="shared" si="10"/>
        <v>80.32786885245902</v>
      </c>
      <c r="T35" s="334">
        <f t="shared" si="3"/>
        <v>0</v>
      </c>
      <c r="U35" s="334"/>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row>
    <row r="36" spans="1:60" ht="20.25" customHeight="1" thickTop="1">
      <c r="A36" s="536">
        <v>2</v>
      </c>
      <c r="B36" s="537" t="s">
        <v>410</v>
      </c>
      <c r="C36" s="522">
        <f>SUM(C37:C40)</f>
        <v>1498</v>
      </c>
      <c r="D36" s="522">
        <f aca="true" t="shared" si="15" ref="D36:R36">SUM(D37:D40)</f>
        <v>669</v>
      </c>
      <c r="E36" s="522">
        <f t="shared" si="15"/>
        <v>829</v>
      </c>
      <c r="F36" s="522">
        <f t="shared" si="15"/>
        <v>1081</v>
      </c>
      <c r="G36" s="522">
        <f t="shared" si="15"/>
        <v>9</v>
      </c>
      <c r="H36" s="522">
        <f t="shared" si="15"/>
        <v>537</v>
      </c>
      <c r="I36" s="522">
        <f t="shared" si="15"/>
        <v>18</v>
      </c>
      <c r="J36" s="522">
        <f t="shared" si="15"/>
        <v>50</v>
      </c>
      <c r="K36" s="522">
        <f t="shared" si="15"/>
        <v>0</v>
      </c>
      <c r="L36" s="522">
        <f t="shared" si="15"/>
        <v>467</v>
      </c>
      <c r="M36" s="522">
        <f t="shared" si="15"/>
        <v>0</v>
      </c>
      <c r="N36" s="522">
        <f t="shared" si="15"/>
        <v>417</v>
      </c>
      <c r="O36" s="522">
        <f t="shared" si="15"/>
        <v>228</v>
      </c>
      <c r="P36" s="522">
        <f t="shared" si="15"/>
        <v>0</v>
      </c>
      <c r="Q36" s="522">
        <f t="shared" si="15"/>
        <v>189</v>
      </c>
      <c r="R36" s="522">
        <f t="shared" si="15"/>
        <v>884</v>
      </c>
      <c r="S36" s="538">
        <f t="shared" si="10"/>
        <v>56.79925994449584</v>
      </c>
      <c r="T36" s="334">
        <f t="shared" si="3"/>
        <v>0</v>
      </c>
      <c r="U36" s="334"/>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row>
    <row r="37" spans="1:60" ht="18.75" customHeight="1">
      <c r="A37" s="220">
        <v>2.1</v>
      </c>
      <c r="B37" s="561" t="s">
        <v>411</v>
      </c>
      <c r="C37" s="363">
        <f>D37+E37</f>
        <v>273</v>
      </c>
      <c r="D37" s="452">
        <v>116</v>
      </c>
      <c r="E37" s="453">
        <v>157</v>
      </c>
      <c r="F37" s="363">
        <f>G37+H37+I37+J37+K37+L37+M37</f>
        <v>221</v>
      </c>
      <c r="G37" s="453">
        <v>4</v>
      </c>
      <c r="H37" s="453">
        <v>128</v>
      </c>
      <c r="I37" s="453">
        <v>3</v>
      </c>
      <c r="J37" s="453">
        <v>3</v>
      </c>
      <c r="K37" s="453">
        <v>0</v>
      </c>
      <c r="L37" s="453">
        <v>83</v>
      </c>
      <c r="M37" s="453">
        <v>0</v>
      </c>
      <c r="N37" s="533">
        <f>O37+P37+Q37</f>
        <v>52</v>
      </c>
      <c r="O37" s="453">
        <v>35</v>
      </c>
      <c r="P37" s="453">
        <v>0</v>
      </c>
      <c r="Q37" s="453">
        <v>17</v>
      </c>
      <c r="R37" s="363">
        <f>Q37+P37+O37+M37+L37</f>
        <v>135</v>
      </c>
      <c r="S37" s="367">
        <f t="shared" si="10"/>
        <v>62.44343891402715</v>
      </c>
      <c r="T37" s="334">
        <f t="shared" si="3"/>
        <v>0</v>
      </c>
      <c r="U37" s="334"/>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row>
    <row r="38" spans="1:60" ht="18" customHeight="1">
      <c r="A38" s="220">
        <v>2.2</v>
      </c>
      <c r="B38" s="562" t="s">
        <v>412</v>
      </c>
      <c r="C38" s="363">
        <f>D38+E38</f>
        <v>530</v>
      </c>
      <c r="D38" s="452">
        <v>278</v>
      </c>
      <c r="E38" s="453">
        <v>252</v>
      </c>
      <c r="F38" s="363">
        <f>G38+H38+I38+J38+K38+L38+M38</f>
        <v>323</v>
      </c>
      <c r="G38" s="453">
        <v>0</v>
      </c>
      <c r="H38" s="453">
        <v>157</v>
      </c>
      <c r="I38" s="453">
        <v>3</v>
      </c>
      <c r="J38" s="453">
        <v>17</v>
      </c>
      <c r="K38" s="453">
        <v>0</v>
      </c>
      <c r="L38" s="453">
        <v>146</v>
      </c>
      <c r="M38" s="453">
        <v>0</v>
      </c>
      <c r="N38" s="533">
        <f>O38+P38+Q38</f>
        <v>207</v>
      </c>
      <c r="O38" s="453">
        <v>111</v>
      </c>
      <c r="P38" s="453">
        <v>0</v>
      </c>
      <c r="Q38" s="453">
        <v>96</v>
      </c>
      <c r="R38" s="363">
        <f>Q38+P38+O38+M38+L38</f>
        <v>353</v>
      </c>
      <c r="S38" s="367">
        <f t="shared" si="10"/>
        <v>54.79876160990712</v>
      </c>
      <c r="T38" s="334">
        <f t="shared" si="3"/>
        <v>0</v>
      </c>
      <c r="U38" s="334"/>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row>
    <row r="39" spans="1:60" ht="21" customHeight="1">
      <c r="A39" s="220">
        <v>2.3</v>
      </c>
      <c r="B39" s="559" t="s">
        <v>413</v>
      </c>
      <c r="C39" s="363">
        <f>D39+E39</f>
        <v>466</v>
      </c>
      <c r="D39" s="452">
        <v>204</v>
      </c>
      <c r="E39" s="453">
        <v>262</v>
      </c>
      <c r="F39" s="363">
        <f>G39+H39+I39+J39+K39+L39+M39</f>
        <v>314</v>
      </c>
      <c r="G39" s="453">
        <v>3</v>
      </c>
      <c r="H39" s="453">
        <v>166</v>
      </c>
      <c r="I39" s="453">
        <v>7</v>
      </c>
      <c r="J39" s="453">
        <v>27</v>
      </c>
      <c r="K39" s="453">
        <v>0</v>
      </c>
      <c r="L39" s="453">
        <v>111</v>
      </c>
      <c r="M39" s="453">
        <v>0</v>
      </c>
      <c r="N39" s="533">
        <f>O39+P39+Q39</f>
        <v>152</v>
      </c>
      <c r="O39" s="453">
        <v>76</v>
      </c>
      <c r="P39" s="453">
        <v>0</v>
      </c>
      <c r="Q39" s="453">
        <v>76</v>
      </c>
      <c r="R39" s="363">
        <f>Q39+P39+O39+M39+L39</f>
        <v>263</v>
      </c>
      <c r="S39" s="390">
        <f t="shared" si="10"/>
        <v>64.64968152866243</v>
      </c>
      <c r="T39" s="334">
        <f t="shared" si="3"/>
        <v>0</v>
      </c>
      <c r="U39" s="334"/>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row>
    <row r="40" spans="1:60" s="187" customFormat="1" ht="17.25" customHeight="1" thickBot="1">
      <c r="A40" s="221">
        <v>2.4</v>
      </c>
      <c r="B40" s="539" t="s">
        <v>649</v>
      </c>
      <c r="C40" s="534">
        <f>D40+E40</f>
        <v>229</v>
      </c>
      <c r="D40" s="454">
        <v>71</v>
      </c>
      <c r="E40" s="455">
        <v>158</v>
      </c>
      <c r="F40" s="446">
        <f>G40+H40+I40+J40+K40+L40+M40</f>
        <v>223</v>
      </c>
      <c r="G40" s="455">
        <v>2</v>
      </c>
      <c r="H40" s="455">
        <v>86</v>
      </c>
      <c r="I40" s="455">
        <v>5</v>
      </c>
      <c r="J40" s="455">
        <v>3</v>
      </c>
      <c r="K40" s="455">
        <v>0</v>
      </c>
      <c r="L40" s="455">
        <v>127</v>
      </c>
      <c r="M40" s="455">
        <v>0</v>
      </c>
      <c r="N40" s="535">
        <f>O40+P40+Q40</f>
        <v>6</v>
      </c>
      <c r="O40" s="455">
        <v>6</v>
      </c>
      <c r="P40" s="455">
        <v>0</v>
      </c>
      <c r="Q40" s="455">
        <v>0</v>
      </c>
      <c r="R40" s="534">
        <f>Q40+P40+O40+M40+L40</f>
        <v>133</v>
      </c>
      <c r="S40" s="449">
        <f t="shared" si="10"/>
        <v>43.04932735426009</v>
      </c>
      <c r="T40" s="334">
        <f t="shared" si="3"/>
        <v>0</v>
      </c>
      <c r="U40" s="334"/>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row>
    <row r="41" spans="1:60" ht="16.5" customHeight="1" thickTop="1">
      <c r="A41" s="536">
        <v>3</v>
      </c>
      <c r="B41" s="537" t="s">
        <v>414</v>
      </c>
      <c r="C41" s="522">
        <f>SUM(C42:C47)</f>
        <v>2329</v>
      </c>
      <c r="D41" s="522">
        <f aca="true" t="shared" si="16" ref="D41:R41">SUM(D42:D47)</f>
        <v>801</v>
      </c>
      <c r="E41" s="522">
        <f t="shared" si="16"/>
        <v>1528</v>
      </c>
      <c r="F41" s="522">
        <f t="shared" si="16"/>
        <v>2005</v>
      </c>
      <c r="G41" s="522">
        <f t="shared" si="16"/>
        <v>25</v>
      </c>
      <c r="H41" s="522">
        <f t="shared" si="16"/>
        <v>1401</v>
      </c>
      <c r="I41" s="522">
        <f t="shared" si="16"/>
        <v>40</v>
      </c>
      <c r="J41" s="522">
        <f t="shared" si="16"/>
        <v>35</v>
      </c>
      <c r="K41" s="522">
        <f t="shared" si="16"/>
        <v>0</v>
      </c>
      <c r="L41" s="522">
        <f t="shared" si="16"/>
        <v>288</v>
      </c>
      <c r="M41" s="522">
        <f t="shared" si="16"/>
        <v>216</v>
      </c>
      <c r="N41" s="522">
        <f t="shared" si="16"/>
        <v>324</v>
      </c>
      <c r="O41" s="522">
        <f t="shared" si="16"/>
        <v>242</v>
      </c>
      <c r="P41" s="522">
        <f t="shared" si="16"/>
        <v>1</v>
      </c>
      <c r="Q41" s="522">
        <f t="shared" si="16"/>
        <v>81</v>
      </c>
      <c r="R41" s="522">
        <f t="shared" si="16"/>
        <v>828</v>
      </c>
      <c r="S41" s="538">
        <f t="shared" si="10"/>
        <v>74.86284289276809</v>
      </c>
      <c r="T41" s="334">
        <f t="shared" si="3"/>
        <v>0</v>
      </c>
      <c r="U41" s="334"/>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row>
    <row r="42" spans="1:60" ht="16.5" customHeight="1">
      <c r="A42" s="220">
        <v>3.1</v>
      </c>
      <c r="B42" s="604" t="s">
        <v>415</v>
      </c>
      <c r="C42" s="363">
        <f aca="true" t="shared" si="17" ref="C42:C47">D42+E42</f>
        <v>504</v>
      </c>
      <c r="D42" s="591">
        <v>90</v>
      </c>
      <c r="E42" s="591">
        <v>414</v>
      </c>
      <c r="F42" s="363">
        <f aca="true" t="shared" si="18" ref="F42:F47">G42+H42+I42+J42+K42+L42+M42</f>
        <v>467</v>
      </c>
      <c r="G42" s="591">
        <v>20</v>
      </c>
      <c r="H42" s="591">
        <v>373</v>
      </c>
      <c r="I42" s="591">
        <v>2</v>
      </c>
      <c r="J42" s="591">
        <v>9</v>
      </c>
      <c r="K42" s="591">
        <v>0</v>
      </c>
      <c r="L42" s="591">
        <v>6</v>
      </c>
      <c r="M42" s="591">
        <v>57</v>
      </c>
      <c r="N42" s="533">
        <f aca="true" t="shared" si="19" ref="N42:N47">O42+P42+Q42</f>
        <v>37</v>
      </c>
      <c r="O42" s="591">
        <v>25</v>
      </c>
      <c r="P42" s="591">
        <v>0</v>
      </c>
      <c r="Q42" s="591">
        <v>12</v>
      </c>
      <c r="R42" s="533">
        <f aca="true" t="shared" si="20" ref="R42:R47">Q42+P42+O42+M42+L42</f>
        <v>100</v>
      </c>
      <c r="S42" s="367">
        <f t="shared" si="10"/>
        <v>86.50963597430408</v>
      </c>
      <c r="T42" s="334">
        <f t="shared" si="3"/>
        <v>0</v>
      </c>
      <c r="U42" s="334"/>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row>
    <row r="43" spans="1:60" ht="17.25" customHeight="1">
      <c r="A43" s="220">
        <v>3.2</v>
      </c>
      <c r="B43" s="605" t="s">
        <v>416</v>
      </c>
      <c r="C43" s="363">
        <f t="shared" si="17"/>
        <v>450</v>
      </c>
      <c r="D43" s="591">
        <v>201</v>
      </c>
      <c r="E43" s="591">
        <v>249</v>
      </c>
      <c r="F43" s="363">
        <f t="shared" si="18"/>
        <v>386</v>
      </c>
      <c r="G43" s="591">
        <v>0</v>
      </c>
      <c r="H43" s="591">
        <v>215</v>
      </c>
      <c r="I43" s="591">
        <v>15</v>
      </c>
      <c r="J43" s="591">
        <v>4</v>
      </c>
      <c r="K43" s="591">
        <v>0</v>
      </c>
      <c r="L43" s="591">
        <v>98</v>
      </c>
      <c r="M43" s="591">
        <v>54</v>
      </c>
      <c r="N43" s="533">
        <f t="shared" si="19"/>
        <v>64</v>
      </c>
      <c r="O43" s="591">
        <v>54</v>
      </c>
      <c r="P43" s="591">
        <v>0</v>
      </c>
      <c r="Q43" s="591">
        <v>10</v>
      </c>
      <c r="R43" s="533">
        <f t="shared" si="20"/>
        <v>216</v>
      </c>
      <c r="S43" s="367">
        <f t="shared" si="10"/>
        <v>60.62176165803109</v>
      </c>
      <c r="T43" s="334">
        <f t="shared" si="3"/>
        <v>0</v>
      </c>
      <c r="U43" s="334"/>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row>
    <row r="44" spans="1:60" ht="16.5" customHeight="1">
      <c r="A44" s="220">
        <v>3.3</v>
      </c>
      <c r="B44" s="605" t="s">
        <v>417</v>
      </c>
      <c r="C44" s="363">
        <f t="shared" si="17"/>
        <v>496</v>
      </c>
      <c r="D44" s="591">
        <v>254</v>
      </c>
      <c r="E44" s="591">
        <v>242</v>
      </c>
      <c r="F44" s="363">
        <f t="shared" si="18"/>
        <v>378</v>
      </c>
      <c r="G44" s="591">
        <v>0</v>
      </c>
      <c r="H44" s="591">
        <v>246</v>
      </c>
      <c r="I44" s="591">
        <v>15</v>
      </c>
      <c r="J44" s="591">
        <v>6</v>
      </c>
      <c r="K44" s="591">
        <v>0</v>
      </c>
      <c r="L44" s="591">
        <v>83</v>
      </c>
      <c r="M44" s="591">
        <v>28</v>
      </c>
      <c r="N44" s="533">
        <f t="shared" si="19"/>
        <v>118</v>
      </c>
      <c r="O44" s="591">
        <v>80</v>
      </c>
      <c r="P44" s="591">
        <v>0</v>
      </c>
      <c r="Q44" s="591">
        <v>38</v>
      </c>
      <c r="R44" s="533">
        <f t="shared" si="20"/>
        <v>229</v>
      </c>
      <c r="S44" s="367">
        <f t="shared" si="10"/>
        <v>70.63492063492063</v>
      </c>
      <c r="T44" s="334">
        <f t="shared" si="3"/>
        <v>0</v>
      </c>
      <c r="U44" s="334"/>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row>
    <row r="45" spans="1:60" ht="15.75" customHeight="1">
      <c r="A45" s="220">
        <v>3.4</v>
      </c>
      <c r="B45" s="606" t="s">
        <v>419</v>
      </c>
      <c r="C45" s="363">
        <f t="shared" si="17"/>
        <v>510</v>
      </c>
      <c r="D45" s="591">
        <v>168</v>
      </c>
      <c r="E45" s="591">
        <v>342</v>
      </c>
      <c r="F45" s="363">
        <f t="shared" si="18"/>
        <v>440</v>
      </c>
      <c r="G45" s="591">
        <v>0</v>
      </c>
      <c r="H45" s="591">
        <v>308</v>
      </c>
      <c r="I45" s="591">
        <v>5</v>
      </c>
      <c r="J45" s="591">
        <v>9</v>
      </c>
      <c r="K45" s="591">
        <v>0</v>
      </c>
      <c r="L45" s="591">
        <v>72</v>
      </c>
      <c r="M45" s="591">
        <v>46</v>
      </c>
      <c r="N45" s="533">
        <f t="shared" si="19"/>
        <v>70</v>
      </c>
      <c r="O45" s="591">
        <v>70</v>
      </c>
      <c r="P45" s="591">
        <v>0</v>
      </c>
      <c r="Q45" s="591">
        <v>0</v>
      </c>
      <c r="R45" s="533">
        <f t="shared" si="20"/>
        <v>188</v>
      </c>
      <c r="S45" s="367">
        <f t="shared" si="10"/>
        <v>73.18181818181819</v>
      </c>
      <c r="T45" s="334">
        <f t="shared" si="3"/>
        <v>0</v>
      </c>
      <c r="U45" s="334"/>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row>
    <row r="46" spans="1:60" ht="15.75" customHeight="1">
      <c r="A46" s="220">
        <v>3.5</v>
      </c>
      <c r="B46" s="607" t="s">
        <v>648</v>
      </c>
      <c r="C46" s="363">
        <f t="shared" si="17"/>
        <v>345</v>
      </c>
      <c r="D46" s="591">
        <v>78</v>
      </c>
      <c r="E46" s="591">
        <v>267</v>
      </c>
      <c r="F46" s="363">
        <f t="shared" si="18"/>
        <v>310</v>
      </c>
      <c r="G46" s="591">
        <v>5</v>
      </c>
      <c r="H46" s="591">
        <v>235</v>
      </c>
      <c r="I46" s="591">
        <v>3</v>
      </c>
      <c r="J46" s="591">
        <v>7</v>
      </c>
      <c r="K46" s="591">
        <v>0</v>
      </c>
      <c r="L46" s="591">
        <v>29</v>
      </c>
      <c r="M46" s="591">
        <v>31</v>
      </c>
      <c r="N46" s="533">
        <f t="shared" si="19"/>
        <v>35</v>
      </c>
      <c r="O46" s="591">
        <v>13</v>
      </c>
      <c r="P46" s="591">
        <v>1</v>
      </c>
      <c r="Q46" s="591">
        <v>21</v>
      </c>
      <c r="R46" s="533">
        <f t="shared" si="20"/>
        <v>95</v>
      </c>
      <c r="S46" s="367">
        <f t="shared" si="10"/>
        <v>80.64516129032258</v>
      </c>
      <c r="T46" s="334">
        <f t="shared" si="3"/>
        <v>0</v>
      </c>
      <c r="U46" s="334"/>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row>
    <row r="47" spans="1:60" s="187" customFormat="1" ht="17.25" customHeight="1" thickBot="1">
      <c r="A47" s="221">
        <v>3.6</v>
      </c>
      <c r="B47" s="608" t="s">
        <v>418</v>
      </c>
      <c r="C47" s="446">
        <f t="shared" si="17"/>
        <v>24</v>
      </c>
      <c r="D47" s="609">
        <v>10</v>
      </c>
      <c r="E47" s="609">
        <v>14</v>
      </c>
      <c r="F47" s="446">
        <f t="shared" si="18"/>
        <v>24</v>
      </c>
      <c r="G47" s="609">
        <v>0</v>
      </c>
      <c r="H47" s="609">
        <v>24</v>
      </c>
      <c r="I47" s="609">
        <v>0</v>
      </c>
      <c r="J47" s="609">
        <v>0</v>
      </c>
      <c r="K47" s="609">
        <v>0</v>
      </c>
      <c r="L47" s="609">
        <v>0</v>
      </c>
      <c r="M47" s="609">
        <v>0</v>
      </c>
      <c r="N47" s="535">
        <f t="shared" si="19"/>
        <v>0</v>
      </c>
      <c r="O47" s="609">
        <v>0</v>
      </c>
      <c r="P47" s="609">
        <v>0</v>
      </c>
      <c r="Q47" s="609">
        <v>0</v>
      </c>
      <c r="R47" s="535">
        <f t="shared" si="20"/>
        <v>0</v>
      </c>
      <c r="S47" s="368">
        <f t="shared" si="10"/>
        <v>100</v>
      </c>
      <c r="T47" s="334">
        <f t="shared" si="3"/>
        <v>0</v>
      </c>
      <c r="U47" s="334"/>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row>
    <row r="48" spans="1:21" ht="18.75" customHeight="1" thickTop="1">
      <c r="A48" s="536">
        <v>4</v>
      </c>
      <c r="B48" s="537" t="s">
        <v>420</v>
      </c>
      <c r="C48" s="522">
        <f>SUM(C49:C53)</f>
        <v>728</v>
      </c>
      <c r="D48" s="522">
        <f aca="true" t="shared" si="21" ref="D48:R48">SUM(D49:D53)</f>
        <v>204</v>
      </c>
      <c r="E48" s="522">
        <f t="shared" si="21"/>
        <v>524</v>
      </c>
      <c r="F48" s="522">
        <f t="shared" si="21"/>
        <v>631</v>
      </c>
      <c r="G48" s="522">
        <f t="shared" si="21"/>
        <v>6</v>
      </c>
      <c r="H48" s="522">
        <f t="shared" si="21"/>
        <v>370</v>
      </c>
      <c r="I48" s="522">
        <f t="shared" si="21"/>
        <v>14</v>
      </c>
      <c r="J48" s="522">
        <f t="shared" si="21"/>
        <v>63</v>
      </c>
      <c r="K48" s="522">
        <f t="shared" si="21"/>
        <v>0</v>
      </c>
      <c r="L48" s="522">
        <f t="shared" si="21"/>
        <v>178</v>
      </c>
      <c r="M48" s="522">
        <f t="shared" si="21"/>
        <v>0</v>
      </c>
      <c r="N48" s="522">
        <f t="shared" si="21"/>
        <v>97</v>
      </c>
      <c r="O48" s="522">
        <f t="shared" si="21"/>
        <v>87</v>
      </c>
      <c r="P48" s="522">
        <f t="shared" si="21"/>
        <v>0</v>
      </c>
      <c r="Q48" s="522">
        <f t="shared" si="21"/>
        <v>10</v>
      </c>
      <c r="R48" s="522">
        <f t="shared" si="21"/>
        <v>275</v>
      </c>
      <c r="S48" s="538">
        <f t="shared" si="10"/>
        <v>71.79080824088749</v>
      </c>
      <c r="T48" s="334">
        <f t="shared" si="3"/>
        <v>0</v>
      </c>
      <c r="U48" s="334"/>
    </row>
    <row r="49" spans="1:21" ht="18.75" customHeight="1">
      <c r="A49" s="220">
        <v>4.1</v>
      </c>
      <c r="B49" s="559" t="s">
        <v>421</v>
      </c>
      <c r="C49" s="363">
        <f>D49+E49</f>
        <v>119</v>
      </c>
      <c r="D49" s="597">
        <v>51</v>
      </c>
      <c r="E49" s="597">
        <v>68</v>
      </c>
      <c r="F49" s="363">
        <f>G49+H49+I49+J49+K49+L49+M49</f>
        <v>99</v>
      </c>
      <c r="G49" s="597">
        <v>0</v>
      </c>
      <c r="H49" s="597">
        <v>44</v>
      </c>
      <c r="I49" s="597">
        <v>1</v>
      </c>
      <c r="J49" s="597">
        <v>5</v>
      </c>
      <c r="K49" s="597">
        <v>0</v>
      </c>
      <c r="L49" s="597">
        <v>49</v>
      </c>
      <c r="M49" s="597">
        <v>0</v>
      </c>
      <c r="N49" s="363">
        <f>O49+P49+Q49</f>
        <v>20</v>
      </c>
      <c r="O49" s="597">
        <v>19</v>
      </c>
      <c r="P49" s="597">
        <v>0</v>
      </c>
      <c r="Q49" s="597">
        <v>1</v>
      </c>
      <c r="R49" s="533">
        <f>Q49+P49+O49+M49+L49</f>
        <v>69</v>
      </c>
      <c r="S49" s="367">
        <f t="shared" si="10"/>
        <v>50.505050505050505</v>
      </c>
      <c r="T49" s="334">
        <f t="shared" si="3"/>
        <v>0</v>
      </c>
      <c r="U49" s="334"/>
    </row>
    <row r="50" spans="1:21" ht="18" customHeight="1">
      <c r="A50" s="220">
        <v>4.2</v>
      </c>
      <c r="B50" s="559" t="s">
        <v>422</v>
      </c>
      <c r="C50" s="363">
        <f>D50+E50</f>
        <v>116</v>
      </c>
      <c r="D50" s="597">
        <v>32</v>
      </c>
      <c r="E50" s="597">
        <v>84</v>
      </c>
      <c r="F50" s="363">
        <f>G50+H50+I50+J50+K50+L50+M50</f>
        <v>95</v>
      </c>
      <c r="G50" s="597">
        <v>1</v>
      </c>
      <c r="H50" s="597">
        <v>56</v>
      </c>
      <c r="I50" s="597">
        <v>3</v>
      </c>
      <c r="J50" s="597">
        <v>10</v>
      </c>
      <c r="K50" s="597">
        <v>0</v>
      </c>
      <c r="L50" s="597">
        <v>25</v>
      </c>
      <c r="M50" s="597">
        <v>0</v>
      </c>
      <c r="N50" s="363">
        <f>O50+P50+Q50</f>
        <v>21</v>
      </c>
      <c r="O50" s="597">
        <v>15</v>
      </c>
      <c r="P50" s="597">
        <v>0</v>
      </c>
      <c r="Q50" s="597">
        <v>6</v>
      </c>
      <c r="R50" s="533">
        <f>Q50+P50+O50+M50+L50</f>
        <v>46</v>
      </c>
      <c r="S50" s="367">
        <f t="shared" si="10"/>
        <v>73.6842105263158</v>
      </c>
      <c r="T50" s="334">
        <f t="shared" si="3"/>
        <v>0</v>
      </c>
      <c r="U50" s="334"/>
    </row>
    <row r="51" spans="1:21" ht="18.75" customHeight="1">
      <c r="A51" s="220">
        <v>4.3</v>
      </c>
      <c r="B51" s="559" t="s">
        <v>423</v>
      </c>
      <c r="C51" s="363">
        <f>D51+E51</f>
        <v>139</v>
      </c>
      <c r="D51" s="597">
        <v>20</v>
      </c>
      <c r="E51" s="597">
        <v>119</v>
      </c>
      <c r="F51" s="363">
        <f>G51+H51+I51+J51+K51+L51+M51</f>
        <v>126</v>
      </c>
      <c r="G51" s="597">
        <v>2</v>
      </c>
      <c r="H51" s="597">
        <v>74</v>
      </c>
      <c r="I51" s="597">
        <v>2</v>
      </c>
      <c r="J51" s="597">
        <v>17</v>
      </c>
      <c r="K51" s="597">
        <v>0</v>
      </c>
      <c r="L51" s="597">
        <v>31</v>
      </c>
      <c r="M51" s="597">
        <v>0</v>
      </c>
      <c r="N51" s="363">
        <f>O51+P51+Q51</f>
        <v>13</v>
      </c>
      <c r="O51" s="597">
        <v>11</v>
      </c>
      <c r="P51" s="597">
        <v>0</v>
      </c>
      <c r="Q51" s="597">
        <v>2</v>
      </c>
      <c r="R51" s="533">
        <f>Q51+P51+O51+M51+L51</f>
        <v>44</v>
      </c>
      <c r="S51" s="367">
        <f t="shared" si="10"/>
        <v>75.39682539682539</v>
      </c>
      <c r="T51" s="334">
        <f t="shared" si="3"/>
        <v>0</v>
      </c>
      <c r="U51" s="334"/>
    </row>
    <row r="52" spans="1:21" ht="18.75" customHeight="1">
      <c r="A52" s="220">
        <v>4.4</v>
      </c>
      <c r="B52" s="559" t="s">
        <v>424</v>
      </c>
      <c r="C52" s="363">
        <f>D52+E52</f>
        <v>104</v>
      </c>
      <c r="D52" s="597">
        <v>29</v>
      </c>
      <c r="E52" s="597">
        <v>75</v>
      </c>
      <c r="F52" s="363">
        <f>G52+H52+I52+J52+K52+L52+M52</f>
        <v>92</v>
      </c>
      <c r="G52" s="597">
        <v>3</v>
      </c>
      <c r="H52" s="597">
        <v>55</v>
      </c>
      <c r="I52" s="597">
        <v>2</v>
      </c>
      <c r="J52" s="597">
        <v>2</v>
      </c>
      <c r="K52" s="597">
        <v>0</v>
      </c>
      <c r="L52" s="597">
        <v>30</v>
      </c>
      <c r="M52" s="597">
        <v>0</v>
      </c>
      <c r="N52" s="363">
        <f>O52+P52+Q52</f>
        <v>12</v>
      </c>
      <c r="O52" s="597">
        <v>12</v>
      </c>
      <c r="P52" s="597">
        <v>0</v>
      </c>
      <c r="Q52" s="597">
        <v>0</v>
      </c>
      <c r="R52" s="533">
        <f>Q52+P52+O52+M52+L52</f>
        <v>42</v>
      </c>
      <c r="S52" s="367">
        <f t="shared" si="10"/>
        <v>67.3913043478261</v>
      </c>
      <c r="T52" s="334">
        <f t="shared" si="3"/>
        <v>0</v>
      </c>
      <c r="U52" s="334"/>
    </row>
    <row r="53" spans="1:107" s="187" customFormat="1" ht="21" customHeight="1" thickBot="1">
      <c r="A53" s="221">
        <v>4.5</v>
      </c>
      <c r="B53" s="610" t="s">
        <v>425</v>
      </c>
      <c r="C53" s="446">
        <f>D53+E53</f>
        <v>250</v>
      </c>
      <c r="D53" s="601">
        <v>72</v>
      </c>
      <c r="E53" s="601">
        <v>178</v>
      </c>
      <c r="F53" s="446">
        <f>G53+H53+I53+J53+K53+L53+M53</f>
        <v>219</v>
      </c>
      <c r="G53" s="601">
        <v>0</v>
      </c>
      <c r="H53" s="601">
        <v>141</v>
      </c>
      <c r="I53" s="601">
        <v>6</v>
      </c>
      <c r="J53" s="601">
        <v>29</v>
      </c>
      <c r="K53" s="601">
        <v>0</v>
      </c>
      <c r="L53" s="601">
        <v>43</v>
      </c>
      <c r="M53" s="601">
        <v>0</v>
      </c>
      <c r="N53" s="446">
        <f>O53+P53+Q53</f>
        <v>31</v>
      </c>
      <c r="O53" s="601">
        <v>30</v>
      </c>
      <c r="P53" s="601">
        <v>0</v>
      </c>
      <c r="Q53" s="601">
        <v>1</v>
      </c>
      <c r="R53" s="535">
        <f>Q53+P53+O53+M53+L53</f>
        <v>74</v>
      </c>
      <c r="S53" s="368">
        <f t="shared" si="10"/>
        <v>80.36529680365297</v>
      </c>
      <c r="T53" s="334">
        <f t="shared" si="3"/>
        <v>0</v>
      </c>
      <c r="U53" s="334"/>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19"/>
      <c r="CA53" s="219"/>
      <c r="CB53" s="219"/>
      <c r="CC53" s="219"/>
      <c r="CD53" s="219"/>
      <c r="CE53" s="219"/>
      <c r="CF53" s="219"/>
      <c r="CG53" s="219"/>
      <c r="CH53" s="219"/>
      <c r="CI53" s="219"/>
      <c r="CJ53" s="219"/>
      <c r="CK53" s="219"/>
      <c r="CL53" s="219"/>
      <c r="CM53" s="219"/>
      <c r="CN53" s="219"/>
      <c r="CO53" s="219"/>
      <c r="CP53" s="219"/>
      <c r="CQ53" s="219"/>
      <c r="CR53" s="219"/>
      <c r="CS53" s="219"/>
      <c r="CT53" s="219"/>
      <c r="CU53" s="219"/>
      <c r="CV53" s="219"/>
      <c r="CW53" s="219"/>
      <c r="CX53" s="219"/>
      <c r="CY53" s="219"/>
      <c r="CZ53" s="219"/>
      <c r="DA53" s="219"/>
      <c r="DB53" s="219"/>
      <c r="DC53" s="219"/>
    </row>
    <row r="54" spans="1:107" ht="16.5" customHeight="1" thickTop="1">
      <c r="A54" s="536">
        <v>5</v>
      </c>
      <c r="B54" s="537" t="s">
        <v>426</v>
      </c>
      <c r="C54" s="522">
        <f aca="true" t="shared" si="22" ref="C54:R54">SUM(C55:C57)</f>
        <v>1694</v>
      </c>
      <c r="D54" s="522">
        <f t="shared" si="22"/>
        <v>624</v>
      </c>
      <c r="E54" s="522">
        <f t="shared" si="22"/>
        <v>1070</v>
      </c>
      <c r="F54" s="522">
        <f t="shared" si="22"/>
        <v>1541</v>
      </c>
      <c r="G54" s="522">
        <f t="shared" si="22"/>
        <v>14</v>
      </c>
      <c r="H54" s="522">
        <f t="shared" si="22"/>
        <v>971</v>
      </c>
      <c r="I54" s="522">
        <f t="shared" si="22"/>
        <v>30</v>
      </c>
      <c r="J54" s="522">
        <f t="shared" si="22"/>
        <v>82</v>
      </c>
      <c r="K54" s="522">
        <f t="shared" si="22"/>
        <v>0</v>
      </c>
      <c r="L54" s="522">
        <f t="shared" si="22"/>
        <v>444</v>
      </c>
      <c r="M54" s="522">
        <f t="shared" si="22"/>
        <v>0</v>
      </c>
      <c r="N54" s="522">
        <f t="shared" si="22"/>
        <v>153</v>
      </c>
      <c r="O54" s="522">
        <f t="shared" si="22"/>
        <v>123</v>
      </c>
      <c r="P54" s="522">
        <f t="shared" si="22"/>
        <v>0</v>
      </c>
      <c r="Q54" s="522">
        <f t="shared" si="22"/>
        <v>30</v>
      </c>
      <c r="R54" s="522">
        <f t="shared" si="22"/>
        <v>597</v>
      </c>
      <c r="S54" s="538">
        <f t="shared" si="10"/>
        <v>71.18754055807916</v>
      </c>
      <c r="T54" s="334">
        <f t="shared" si="3"/>
        <v>0</v>
      </c>
      <c r="U54" s="334"/>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19"/>
      <c r="CP54" s="219"/>
      <c r="CQ54" s="219"/>
      <c r="CR54" s="219"/>
      <c r="CS54" s="219"/>
      <c r="CT54" s="219"/>
      <c r="CU54" s="219"/>
      <c r="CV54" s="219"/>
      <c r="CW54" s="219"/>
      <c r="CX54" s="219"/>
      <c r="CY54" s="219"/>
      <c r="CZ54" s="219"/>
      <c r="DA54" s="219"/>
      <c r="DB54" s="219"/>
      <c r="DC54" s="219"/>
    </row>
    <row r="55" spans="1:107" ht="16.5" customHeight="1">
      <c r="A55" s="220">
        <v>5.1</v>
      </c>
      <c r="B55" s="559" t="s">
        <v>431</v>
      </c>
      <c r="C55" s="363">
        <f>D55+E55</f>
        <v>591</v>
      </c>
      <c r="D55" s="591">
        <v>220</v>
      </c>
      <c r="E55" s="591">
        <v>371</v>
      </c>
      <c r="F55" s="363">
        <f>G55+H55+I55+J55+K55+L55+M55</f>
        <v>529</v>
      </c>
      <c r="G55" s="591">
        <v>13</v>
      </c>
      <c r="H55" s="591">
        <v>341</v>
      </c>
      <c r="I55" s="591">
        <v>10</v>
      </c>
      <c r="J55" s="591">
        <v>23</v>
      </c>
      <c r="K55" s="591">
        <v>0</v>
      </c>
      <c r="L55" s="591">
        <v>142</v>
      </c>
      <c r="M55" s="591">
        <v>0</v>
      </c>
      <c r="N55" s="363">
        <f>O55+P55+Q55</f>
        <v>62</v>
      </c>
      <c r="O55" s="591">
        <v>41</v>
      </c>
      <c r="P55" s="591">
        <v>0</v>
      </c>
      <c r="Q55" s="591">
        <v>21</v>
      </c>
      <c r="R55" s="533">
        <f>Q55+P55+O55+M55+L55</f>
        <v>204</v>
      </c>
      <c r="S55" s="367">
        <f t="shared" si="10"/>
        <v>73.15689981096408</v>
      </c>
      <c r="T55" s="334">
        <f t="shared" si="3"/>
        <v>0</v>
      </c>
      <c r="U55" s="334"/>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c r="BY55" s="219"/>
      <c r="BZ55" s="219"/>
      <c r="CA55" s="219"/>
      <c r="CB55" s="219"/>
      <c r="CC55" s="219"/>
      <c r="CD55" s="219"/>
      <c r="CE55" s="219"/>
      <c r="CF55" s="219"/>
      <c r="CG55" s="219"/>
      <c r="CH55" s="219"/>
      <c r="CI55" s="219"/>
      <c r="CJ55" s="219"/>
      <c r="CK55" s="219"/>
      <c r="CL55" s="219"/>
      <c r="CM55" s="219"/>
      <c r="CN55" s="219"/>
      <c r="CO55" s="219"/>
      <c r="CP55" s="219"/>
      <c r="CQ55" s="219"/>
      <c r="CR55" s="219"/>
      <c r="CS55" s="219"/>
      <c r="CT55" s="219"/>
      <c r="CU55" s="219"/>
      <c r="CV55" s="219"/>
      <c r="CW55" s="219"/>
      <c r="CX55" s="219"/>
      <c r="CY55" s="219"/>
      <c r="CZ55" s="219"/>
      <c r="DA55" s="219"/>
      <c r="DB55" s="219"/>
      <c r="DC55" s="219"/>
    </row>
    <row r="56" spans="1:107" ht="18" customHeight="1">
      <c r="A56" s="220">
        <v>5.2</v>
      </c>
      <c r="B56" s="559" t="s">
        <v>427</v>
      </c>
      <c r="C56" s="363">
        <f>D56+E56</f>
        <v>566</v>
      </c>
      <c r="D56" s="591">
        <v>227</v>
      </c>
      <c r="E56" s="591">
        <v>339</v>
      </c>
      <c r="F56" s="363">
        <f>G56+H56+I56+J56+K56+L56+M56</f>
        <v>509</v>
      </c>
      <c r="G56" s="591">
        <v>1</v>
      </c>
      <c r="H56" s="591">
        <v>280</v>
      </c>
      <c r="I56" s="591">
        <v>11</v>
      </c>
      <c r="J56" s="591">
        <v>34</v>
      </c>
      <c r="K56" s="591">
        <v>0</v>
      </c>
      <c r="L56" s="591">
        <v>183</v>
      </c>
      <c r="M56" s="591">
        <v>0</v>
      </c>
      <c r="N56" s="363">
        <f>O56+P56+Q56</f>
        <v>57</v>
      </c>
      <c r="O56" s="591">
        <v>51</v>
      </c>
      <c r="P56" s="591">
        <v>0</v>
      </c>
      <c r="Q56" s="591">
        <v>6</v>
      </c>
      <c r="R56" s="533">
        <f>Q56+P56+O56+M56+L56</f>
        <v>240</v>
      </c>
      <c r="S56" s="367">
        <f t="shared" si="10"/>
        <v>64.04715127701375</v>
      </c>
      <c r="T56" s="334">
        <f t="shared" si="3"/>
        <v>0</v>
      </c>
      <c r="U56" s="334"/>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219"/>
      <c r="BZ56" s="219"/>
      <c r="CA56" s="219"/>
      <c r="CB56" s="219"/>
      <c r="CC56" s="219"/>
      <c r="CD56" s="219"/>
      <c r="CE56" s="219"/>
      <c r="CF56" s="219"/>
      <c r="CG56" s="219"/>
      <c r="CH56" s="219"/>
      <c r="CI56" s="219"/>
      <c r="CJ56" s="219"/>
      <c r="CK56" s="219"/>
      <c r="CL56" s="219"/>
      <c r="CM56" s="219"/>
      <c r="CN56" s="219"/>
      <c r="CO56" s="219"/>
      <c r="CP56" s="219"/>
      <c r="CQ56" s="219"/>
      <c r="CR56" s="219"/>
      <c r="CS56" s="219"/>
      <c r="CT56" s="219"/>
      <c r="CU56" s="219"/>
      <c r="CV56" s="219"/>
      <c r="CW56" s="219"/>
      <c r="CX56" s="219"/>
      <c r="CY56" s="219"/>
      <c r="CZ56" s="219"/>
      <c r="DA56" s="219"/>
      <c r="DB56" s="219"/>
      <c r="DC56" s="219"/>
    </row>
    <row r="57" spans="1:107" s="187" customFormat="1" ht="18" customHeight="1" thickBot="1">
      <c r="A57" s="221">
        <v>5.3</v>
      </c>
      <c r="B57" s="610" t="s">
        <v>428</v>
      </c>
      <c r="C57" s="446">
        <f>D57+E57</f>
        <v>537</v>
      </c>
      <c r="D57" s="609">
        <v>177</v>
      </c>
      <c r="E57" s="609">
        <v>360</v>
      </c>
      <c r="F57" s="446">
        <f>G57+H57+I57+J57+K57+L57+M57</f>
        <v>503</v>
      </c>
      <c r="G57" s="609">
        <v>0</v>
      </c>
      <c r="H57" s="609">
        <v>350</v>
      </c>
      <c r="I57" s="609">
        <v>9</v>
      </c>
      <c r="J57" s="609">
        <v>25</v>
      </c>
      <c r="K57" s="609">
        <v>0</v>
      </c>
      <c r="L57" s="609">
        <v>119</v>
      </c>
      <c r="M57" s="609">
        <v>0</v>
      </c>
      <c r="N57" s="446">
        <f>O57+P57+Q57</f>
        <v>34</v>
      </c>
      <c r="O57" s="609">
        <v>31</v>
      </c>
      <c r="P57" s="609">
        <v>0</v>
      </c>
      <c r="Q57" s="609">
        <v>3</v>
      </c>
      <c r="R57" s="535">
        <f>Q57+P57+O57+M57+L57</f>
        <v>153</v>
      </c>
      <c r="S57" s="368">
        <f t="shared" si="10"/>
        <v>76.34194831013916</v>
      </c>
      <c r="T57" s="334">
        <f t="shared" si="3"/>
        <v>0</v>
      </c>
      <c r="U57" s="334"/>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219"/>
      <c r="CK57" s="219"/>
      <c r="CL57" s="219"/>
      <c r="CM57" s="219"/>
      <c r="CN57" s="219"/>
      <c r="CO57" s="219"/>
      <c r="CP57" s="219"/>
      <c r="CQ57" s="219"/>
      <c r="CR57" s="219"/>
      <c r="CS57" s="219"/>
      <c r="CT57" s="219"/>
      <c r="CU57" s="219"/>
      <c r="CV57" s="219"/>
      <c r="CW57" s="219"/>
      <c r="CX57" s="219"/>
      <c r="CY57" s="219"/>
      <c r="CZ57" s="219"/>
      <c r="DA57" s="219"/>
      <c r="DB57" s="219"/>
      <c r="DC57" s="219"/>
    </row>
    <row r="58" spans="1:107" ht="18.75" customHeight="1" thickTop="1">
      <c r="A58" s="536">
        <v>6</v>
      </c>
      <c r="B58" s="537" t="s">
        <v>429</v>
      </c>
      <c r="C58" s="522">
        <f aca="true" t="shared" si="23" ref="C58:R58">SUM(C59:C60)</f>
        <v>898</v>
      </c>
      <c r="D58" s="522">
        <f t="shared" si="23"/>
        <v>244</v>
      </c>
      <c r="E58" s="522">
        <f t="shared" si="23"/>
        <v>654</v>
      </c>
      <c r="F58" s="522">
        <f t="shared" si="23"/>
        <v>806</v>
      </c>
      <c r="G58" s="522">
        <f t="shared" si="23"/>
        <v>3</v>
      </c>
      <c r="H58" s="522">
        <f t="shared" si="23"/>
        <v>583</v>
      </c>
      <c r="I58" s="522">
        <f t="shared" si="23"/>
        <v>7</v>
      </c>
      <c r="J58" s="522">
        <f t="shared" si="23"/>
        <v>36</v>
      </c>
      <c r="K58" s="522">
        <f t="shared" si="23"/>
        <v>0</v>
      </c>
      <c r="L58" s="522">
        <f t="shared" si="23"/>
        <v>177</v>
      </c>
      <c r="M58" s="522">
        <f t="shared" si="23"/>
        <v>0</v>
      </c>
      <c r="N58" s="522">
        <f t="shared" si="23"/>
        <v>92</v>
      </c>
      <c r="O58" s="522">
        <f t="shared" si="23"/>
        <v>61</v>
      </c>
      <c r="P58" s="522">
        <f t="shared" si="23"/>
        <v>0</v>
      </c>
      <c r="Q58" s="522">
        <f t="shared" si="23"/>
        <v>31</v>
      </c>
      <c r="R58" s="522">
        <f t="shared" si="23"/>
        <v>269</v>
      </c>
      <c r="S58" s="538">
        <f t="shared" si="10"/>
        <v>78.03970223325062</v>
      </c>
      <c r="T58" s="334">
        <f t="shared" si="3"/>
        <v>0</v>
      </c>
      <c r="U58" s="334"/>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X58" s="219"/>
      <c r="BY58" s="219"/>
      <c r="BZ58" s="219"/>
      <c r="CA58" s="219"/>
      <c r="CB58" s="219"/>
      <c r="CC58" s="219"/>
      <c r="CD58" s="219"/>
      <c r="CE58" s="219"/>
      <c r="CF58" s="219"/>
      <c r="CG58" s="219"/>
      <c r="CH58" s="219"/>
      <c r="CI58" s="219"/>
      <c r="CJ58" s="219"/>
      <c r="CK58" s="219"/>
      <c r="CL58" s="219"/>
      <c r="CM58" s="219"/>
      <c r="CN58" s="219"/>
      <c r="CO58" s="219"/>
      <c r="CP58" s="219"/>
      <c r="CQ58" s="219"/>
      <c r="CR58" s="219"/>
      <c r="CS58" s="219"/>
      <c r="CT58" s="219"/>
      <c r="CU58" s="219"/>
      <c r="CV58" s="219"/>
      <c r="CW58" s="219"/>
      <c r="CX58" s="219"/>
      <c r="CY58" s="219"/>
      <c r="CZ58" s="219"/>
      <c r="DA58" s="219"/>
      <c r="DB58" s="219"/>
      <c r="DC58" s="219"/>
    </row>
    <row r="59" spans="1:107" ht="19.5" customHeight="1">
      <c r="A59" s="220">
        <v>6.1</v>
      </c>
      <c r="B59" s="611" t="s">
        <v>653</v>
      </c>
      <c r="C59" s="363">
        <f>D59+E59</f>
        <v>266</v>
      </c>
      <c r="D59" s="597">
        <v>83</v>
      </c>
      <c r="E59" s="597">
        <v>183</v>
      </c>
      <c r="F59" s="363">
        <f>G59+H59+I59+J59+K59+L59+M59</f>
        <v>243</v>
      </c>
      <c r="G59" s="597">
        <v>2</v>
      </c>
      <c r="H59" s="597">
        <v>177</v>
      </c>
      <c r="I59" s="597">
        <v>3</v>
      </c>
      <c r="J59" s="597">
        <v>19</v>
      </c>
      <c r="K59" s="597">
        <v>0</v>
      </c>
      <c r="L59" s="597">
        <v>42</v>
      </c>
      <c r="M59" s="597">
        <v>0</v>
      </c>
      <c r="N59" s="363">
        <f>O59+P59+Q59</f>
        <v>23</v>
      </c>
      <c r="O59" s="597">
        <v>23</v>
      </c>
      <c r="P59" s="597">
        <v>0</v>
      </c>
      <c r="Q59" s="597">
        <v>0</v>
      </c>
      <c r="R59" s="533">
        <f>Q59+P59+O59+M59+L59</f>
        <v>65</v>
      </c>
      <c r="S59" s="367">
        <f t="shared" si="10"/>
        <v>82.71604938271605</v>
      </c>
      <c r="T59" s="334">
        <f t="shared" si="3"/>
        <v>0</v>
      </c>
      <c r="U59" s="334"/>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19"/>
      <c r="CA59" s="219"/>
      <c r="CB59" s="219"/>
      <c r="CC59" s="219"/>
      <c r="CD59" s="219"/>
      <c r="CE59" s="219"/>
      <c r="CF59" s="219"/>
      <c r="CG59" s="219"/>
      <c r="CH59" s="219"/>
      <c r="CI59" s="219"/>
      <c r="CJ59" s="219"/>
      <c r="CK59" s="219"/>
      <c r="CL59" s="219"/>
      <c r="CM59" s="219"/>
      <c r="CN59" s="219"/>
      <c r="CO59" s="219"/>
      <c r="CP59" s="219"/>
      <c r="CQ59" s="219"/>
      <c r="CR59" s="219"/>
      <c r="CS59" s="219"/>
      <c r="CT59" s="219"/>
      <c r="CU59" s="219"/>
      <c r="CV59" s="219"/>
      <c r="CW59" s="219"/>
      <c r="CX59" s="219"/>
      <c r="CY59" s="219"/>
      <c r="CZ59" s="219"/>
      <c r="DA59" s="219"/>
      <c r="DB59" s="219"/>
      <c r="DC59" s="219"/>
    </row>
    <row r="60" spans="1:107" s="187" customFormat="1" ht="21" customHeight="1" thickBot="1">
      <c r="A60" s="221">
        <v>6.3</v>
      </c>
      <c r="B60" s="610" t="s">
        <v>430</v>
      </c>
      <c r="C60" s="446">
        <f>D60+E60</f>
        <v>632</v>
      </c>
      <c r="D60" s="601">
        <v>161</v>
      </c>
      <c r="E60" s="601">
        <v>471</v>
      </c>
      <c r="F60" s="446">
        <f>G60+H60+I60+J60+K60+L60+M60</f>
        <v>563</v>
      </c>
      <c r="G60" s="601">
        <v>1</v>
      </c>
      <c r="H60" s="601">
        <v>406</v>
      </c>
      <c r="I60" s="601">
        <v>4</v>
      </c>
      <c r="J60" s="601">
        <v>17</v>
      </c>
      <c r="K60" s="601">
        <v>0</v>
      </c>
      <c r="L60" s="601">
        <v>135</v>
      </c>
      <c r="M60" s="601">
        <v>0</v>
      </c>
      <c r="N60" s="446">
        <f>O60+P60+Q60</f>
        <v>69</v>
      </c>
      <c r="O60" s="601">
        <v>38</v>
      </c>
      <c r="P60" s="601">
        <v>0</v>
      </c>
      <c r="Q60" s="601">
        <v>31</v>
      </c>
      <c r="R60" s="535">
        <f>Q60+P60+O60+M60+L60</f>
        <v>204</v>
      </c>
      <c r="S60" s="368">
        <f t="shared" si="10"/>
        <v>76.02131438721136</v>
      </c>
      <c r="T60" s="334">
        <f aca="true" t="shared" si="24" ref="T60:T65">N60+F60-C60</f>
        <v>0</v>
      </c>
      <c r="U60" s="334"/>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c r="CD60" s="219"/>
      <c r="CE60" s="219"/>
      <c r="CF60" s="219"/>
      <c r="CG60" s="219"/>
      <c r="CH60" s="219"/>
      <c r="CI60" s="219"/>
      <c r="CJ60" s="219"/>
      <c r="CK60" s="219"/>
      <c r="CL60" s="219"/>
      <c r="CM60" s="219"/>
      <c r="CN60" s="219"/>
      <c r="CO60" s="219"/>
      <c r="CP60" s="219"/>
      <c r="CQ60" s="219"/>
      <c r="CR60" s="219"/>
      <c r="CS60" s="219"/>
      <c r="CT60" s="219"/>
      <c r="CU60" s="219"/>
      <c r="CV60" s="219"/>
      <c r="CW60" s="219"/>
      <c r="CX60" s="219"/>
      <c r="CY60" s="219"/>
      <c r="CZ60" s="219"/>
      <c r="DA60" s="219"/>
      <c r="DB60" s="219"/>
      <c r="DC60" s="219"/>
    </row>
    <row r="61" spans="1:107" ht="19.5" customHeight="1" thickTop="1">
      <c r="A61" s="536">
        <v>7</v>
      </c>
      <c r="B61" s="537" t="s">
        <v>432</v>
      </c>
      <c r="C61" s="522">
        <f>SUM(C62:C66)</f>
        <v>1555</v>
      </c>
      <c r="D61" s="522">
        <f aca="true" t="shared" si="25" ref="D61:R61">SUM(D62:D66)</f>
        <v>858</v>
      </c>
      <c r="E61" s="522">
        <f t="shared" si="25"/>
        <v>697</v>
      </c>
      <c r="F61" s="522">
        <f t="shared" si="25"/>
        <v>1213</v>
      </c>
      <c r="G61" s="522">
        <f t="shared" si="25"/>
        <v>7</v>
      </c>
      <c r="H61" s="522">
        <f t="shared" si="25"/>
        <v>569</v>
      </c>
      <c r="I61" s="522">
        <f t="shared" si="25"/>
        <v>27</v>
      </c>
      <c r="J61" s="522">
        <f t="shared" si="25"/>
        <v>9</v>
      </c>
      <c r="K61" s="522">
        <f t="shared" si="25"/>
        <v>0</v>
      </c>
      <c r="L61" s="522">
        <f t="shared" si="25"/>
        <v>601</v>
      </c>
      <c r="M61" s="522">
        <f t="shared" si="25"/>
        <v>0</v>
      </c>
      <c r="N61" s="522">
        <f t="shared" si="25"/>
        <v>342</v>
      </c>
      <c r="O61" s="522">
        <f t="shared" si="25"/>
        <v>133</v>
      </c>
      <c r="P61" s="522">
        <f t="shared" si="25"/>
        <v>0</v>
      </c>
      <c r="Q61" s="522">
        <f t="shared" si="25"/>
        <v>209</v>
      </c>
      <c r="R61" s="522">
        <f t="shared" si="25"/>
        <v>943</v>
      </c>
      <c r="S61" s="538">
        <f t="shared" si="10"/>
        <v>50.45342126957956</v>
      </c>
      <c r="T61" s="334">
        <f t="shared" si="24"/>
        <v>0</v>
      </c>
      <c r="U61" s="334"/>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X61" s="219"/>
      <c r="BY61" s="219"/>
      <c r="BZ61" s="219"/>
      <c r="CA61" s="219"/>
      <c r="CB61" s="219"/>
      <c r="CC61" s="219"/>
      <c r="CD61" s="219"/>
      <c r="CE61" s="219"/>
      <c r="CF61" s="219"/>
      <c r="CG61" s="219"/>
      <c r="CH61" s="219"/>
      <c r="CI61" s="219"/>
      <c r="CJ61" s="219"/>
      <c r="CK61" s="219"/>
      <c r="CL61" s="219"/>
      <c r="CM61" s="219"/>
      <c r="CN61" s="219"/>
      <c r="CO61" s="219"/>
      <c r="CP61" s="219"/>
      <c r="CQ61" s="219"/>
      <c r="CR61" s="219"/>
      <c r="CS61" s="219"/>
      <c r="CT61" s="219"/>
      <c r="CU61" s="219"/>
      <c r="CV61" s="219"/>
      <c r="CW61" s="219"/>
      <c r="CX61" s="219"/>
      <c r="CY61" s="219"/>
      <c r="CZ61" s="219"/>
      <c r="DA61" s="219"/>
      <c r="DB61" s="219"/>
      <c r="DC61" s="219"/>
    </row>
    <row r="62" spans="1:107" ht="18.75" customHeight="1">
      <c r="A62" s="220">
        <v>7.1</v>
      </c>
      <c r="B62" s="559" t="s">
        <v>433</v>
      </c>
      <c r="C62" s="363">
        <f>D62+E62</f>
        <v>205</v>
      </c>
      <c r="D62" s="591">
        <v>124</v>
      </c>
      <c r="E62" s="591">
        <v>81</v>
      </c>
      <c r="F62" s="363">
        <f>G62+H62+I62+J62+K62+L62+M62</f>
        <v>142</v>
      </c>
      <c r="G62" s="591">
        <v>0</v>
      </c>
      <c r="H62" s="591">
        <v>52</v>
      </c>
      <c r="I62" s="591">
        <v>4</v>
      </c>
      <c r="J62" s="591">
        <v>0</v>
      </c>
      <c r="K62" s="591">
        <v>0</v>
      </c>
      <c r="L62" s="591">
        <v>86</v>
      </c>
      <c r="M62" s="591">
        <v>0</v>
      </c>
      <c r="N62" s="363">
        <f>O62+P62+Q62</f>
        <v>63</v>
      </c>
      <c r="O62" s="591">
        <v>19</v>
      </c>
      <c r="P62" s="591">
        <v>0</v>
      </c>
      <c r="Q62" s="591">
        <v>44</v>
      </c>
      <c r="R62" s="533">
        <f>Q62+P62+O62+M62+L62</f>
        <v>149</v>
      </c>
      <c r="S62" s="367">
        <f t="shared" si="10"/>
        <v>39.436619718309856</v>
      </c>
      <c r="T62" s="334">
        <f t="shared" si="24"/>
        <v>0</v>
      </c>
      <c r="U62" s="334"/>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c r="BW62" s="219"/>
      <c r="BX62" s="219"/>
      <c r="BY62" s="219"/>
      <c r="BZ62" s="219"/>
      <c r="CA62" s="219"/>
      <c r="CB62" s="219"/>
      <c r="CC62" s="219"/>
      <c r="CD62" s="219"/>
      <c r="CE62" s="219"/>
      <c r="CF62" s="219"/>
      <c r="CG62" s="219"/>
      <c r="CH62" s="219"/>
      <c r="CI62" s="219"/>
      <c r="CJ62" s="219"/>
      <c r="CK62" s="219"/>
      <c r="CL62" s="219"/>
      <c r="CM62" s="219"/>
      <c r="CN62" s="219"/>
      <c r="CO62" s="219"/>
      <c r="CP62" s="219"/>
      <c r="CQ62" s="219"/>
      <c r="CR62" s="219"/>
      <c r="CS62" s="219"/>
      <c r="CT62" s="219"/>
      <c r="CU62" s="219"/>
      <c r="CV62" s="219"/>
      <c r="CW62" s="219"/>
      <c r="CX62" s="219"/>
      <c r="CY62" s="219"/>
      <c r="CZ62" s="219"/>
      <c r="DA62" s="219"/>
      <c r="DB62" s="219"/>
      <c r="DC62" s="219"/>
    </row>
    <row r="63" spans="1:107" ht="18.75" customHeight="1">
      <c r="A63" s="220">
        <v>7.2</v>
      </c>
      <c r="B63" s="611" t="s">
        <v>434</v>
      </c>
      <c r="C63" s="363">
        <f>D63+E63</f>
        <v>380</v>
      </c>
      <c r="D63" s="591">
        <v>150</v>
      </c>
      <c r="E63" s="591">
        <v>230</v>
      </c>
      <c r="F63" s="363">
        <f>G63+H63+I63+J63+K63+L63+M63</f>
        <v>298</v>
      </c>
      <c r="G63" s="591">
        <v>5</v>
      </c>
      <c r="H63" s="591">
        <v>194</v>
      </c>
      <c r="I63" s="591">
        <v>7</v>
      </c>
      <c r="J63" s="591">
        <v>3</v>
      </c>
      <c r="K63" s="591">
        <v>0</v>
      </c>
      <c r="L63" s="591">
        <v>89</v>
      </c>
      <c r="M63" s="591">
        <v>0</v>
      </c>
      <c r="N63" s="363">
        <f>O63+P63+Q63</f>
        <v>82</v>
      </c>
      <c r="O63" s="591">
        <v>28</v>
      </c>
      <c r="P63" s="591">
        <v>0</v>
      </c>
      <c r="Q63" s="591">
        <v>54</v>
      </c>
      <c r="R63" s="533">
        <f>Q63+P63+O63+M63+L63</f>
        <v>171</v>
      </c>
      <c r="S63" s="367">
        <f t="shared" si="10"/>
        <v>70.13422818791946</v>
      </c>
      <c r="T63" s="334">
        <f t="shared" si="24"/>
        <v>0</v>
      </c>
      <c r="U63" s="334"/>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219"/>
      <c r="BZ63" s="219"/>
      <c r="CA63" s="219"/>
      <c r="CB63" s="219"/>
      <c r="CC63" s="219"/>
      <c r="CD63" s="219"/>
      <c r="CE63" s="219"/>
      <c r="CF63" s="219"/>
      <c r="CG63" s="219"/>
      <c r="CH63" s="219"/>
      <c r="CI63" s="219"/>
      <c r="CJ63" s="219"/>
      <c r="CK63" s="219"/>
      <c r="CL63" s="219"/>
      <c r="CM63" s="219"/>
      <c r="CN63" s="219"/>
      <c r="CO63" s="219"/>
      <c r="CP63" s="219"/>
      <c r="CQ63" s="219"/>
      <c r="CR63" s="219"/>
      <c r="CS63" s="219"/>
      <c r="CT63" s="219"/>
      <c r="CU63" s="219"/>
      <c r="CV63" s="219"/>
      <c r="CW63" s="219"/>
      <c r="CX63" s="219"/>
      <c r="CY63" s="219"/>
      <c r="CZ63" s="219"/>
      <c r="DA63" s="219"/>
      <c r="DB63" s="219"/>
      <c r="DC63" s="219"/>
    </row>
    <row r="64" spans="1:107" ht="19.5" customHeight="1">
      <c r="A64" s="220">
        <v>7.3</v>
      </c>
      <c r="B64" s="611" t="s">
        <v>435</v>
      </c>
      <c r="C64" s="363">
        <f>D64+E64</f>
        <v>424</v>
      </c>
      <c r="D64" s="591">
        <v>280</v>
      </c>
      <c r="E64" s="591">
        <v>144</v>
      </c>
      <c r="F64" s="363">
        <f>G64+H64+I64+J64+K64+L64+M64</f>
        <v>321</v>
      </c>
      <c r="G64" s="591">
        <v>1</v>
      </c>
      <c r="H64" s="591">
        <v>113</v>
      </c>
      <c r="I64" s="591">
        <v>6</v>
      </c>
      <c r="J64" s="591">
        <v>2</v>
      </c>
      <c r="K64" s="591">
        <v>0</v>
      </c>
      <c r="L64" s="591">
        <v>199</v>
      </c>
      <c r="M64" s="591">
        <v>0</v>
      </c>
      <c r="N64" s="363">
        <f>O64+P64+Q64</f>
        <v>103</v>
      </c>
      <c r="O64" s="591">
        <v>38</v>
      </c>
      <c r="P64" s="591">
        <v>0</v>
      </c>
      <c r="Q64" s="591">
        <v>65</v>
      </c>
      <c r="R64" s="533">
        <f>Q64+P64+O64+M64+L64</f>
        <v>302</v>
      </c>
      <c r="S64" s="367">
        <f t="shared" si="10"/>
        <v>38.006230529595015</v>
      </c>
      <c r="T64" s="334">
        <f t="shared" si="24"/>
        <v>0</v>
      </c>
      <c r="U64" s="334"/>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19"/>
      <c r="DB64" s="219"/>
      <c r="DC64" s="219"/>
    </row>
    <row r="65" spans="1:107" ht="18.75" customHeight="1">
      <c r="A65" s="220">
        <v>7.4</v>
      </c>
      <c r="B65" s="559" t="s">
        <v>436</v>
      </c>
      <c r="C65" s="363">
        <f>D65+E65</f>
        <v>267</v>
      </c>
      <c r="D65" s="591">
        <v>153</v>
      </c>
      <c r="E65" s="591">
        <v>114</v>
      </c>
      <c r="F65" s="363">
        <f>G65+H65+I65+J65+K65+L65+M65</f>
        <v>202</v>
      </c>
      <c r="G65" s="591">
        <v>1</v>
      </c>
      <c r="H65" s="591">
        <v>89</v>
      </c>
      <c r="I65" s="591">
        <v>4</v>
      </c>
      <c r="J65" s="591">
        <v>0</v>
      </c>
      <c r="K65" s="591">
        <v>0</v>
      </c>
      <c r="L65" s="591">
        <v>108</v>
      </c>
      <c r="M65" s="591">
        <v>0</v>
      </c>
      <c r="N65" s="363">
        <f>O65+P65+Q65</f>
        <v>65</v>
      </c>
      <c r="O65" s="591">
        <v>28</v>
      </c>
      <c r="P65" s="591">
        <v>0</v>
      </c>
      <c r="Q65" s="591">
        <v>37</v>
      </c>
      <c r="R65" s="533">
        <f>Q65+P65+O65+M65+L65</f>
        <v>173</v>
      </c>
      <c r="S65" s="367">
        <f t="shared" si="10"/>
        <v>46.53465346534654</v>
      </c>
      <c r="T65" s="334">
        <f t="shared" si="24"/>
        <v>0</v>
      </c>
      <c r="U65" s="334"/>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19"/>
      <c r="CZ65" s="219"/>
      <c r="DA65" s="219"/>
      <c r="DB65" s="219"/>
      <c r="DC65" s="219"/>
    </row>
    <row r="66" spans="1:107" s="187" customFormat="1" ht="21" customHeight="1" thickBot="1">
      <c r="A66" s="221">
        <v>7.5</v>
      </c>
      <c r="B66" s="610" t="s">
        <v>437</v>
      </c>
      <c r="C66" s="446">
        <f>D66+E66</f>
        <v>279</v>
      </c>
      <c r="D66" s="609">
        <v>151</v>
      </c>
      <c r="E66" s="609">
        <v>128</v>
      </c>
      <c r="F66" s="446">
        <f>G66+H66+I66+J66+K66+L66+M66</f>
        <v>250</v>
      </c>
      <c r="G66" s="609">
        <v>0</v>
      </c>
      <c r="H66" s="609">
        <v>121</v>
      </c>
      <c r="I66" s="609">
        <v>6</v>
      </c>
      <c r="J66" s="609">
        <v>4</v>
      </c>
      <c r="K66" s="609">
        <v>0</v>
      </c>
      <c r="L66" s="609">
        <v>119</v>
      </c>
      <c r="M66" s="609">
        <v>0</v>
      </c>
      <c r="N66" s="446">
        <f>O66+P66+Q66</f>
        <v>29</v>
      </c>
      <c r="O66" s="609">
        <v>20</v>
      </c>
      <c r="P66" s="609">
        <v>0</v>
      </c>
      <c r="Q66" s="609">
        <v>9</v>
      </c>
      <c r="R66" s="535">
        <f>Q66+P66+O66+M66+L66</f>
        <v>148</v>
      </c>
      <c r="S66" s="368">
        <f t="shared" si="10"/>
        <v>52.4</v>
      </c>
      <c r="T66" s="334">
        <f t="shared" si="3"/>
        <v>0</v>
      </c>
      <c r="U66" s="334"/>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c r="CA66" s="219"/>
      <c r="CB66" s="219"/>
      <c r="CC66" s="219"/>
      <c r="CD66" s="219"/>
      <c r="CE66" s="219"/>
      <c r="CF66" s="219"/>
      <c r="CG66" s="219"/>
      <c r="CH66" s="219"/>
      <c r="CI66" s="219"/>
      <c r="CJ66" s="219"/>
      <c r="CK66" s="219"/>
      <c r="CL66" s="219"/>
      <c r="CM66" s="219"/>
      <c r="CN66" s="219"/>
      <c r="CO66" s="219"/>
      <c r="CP66" s="219"/>
      <c r="CQ66" s="219"/>
      <c r="CR66" s="219"/>
      <c r="CS66" s="219"/>
      <c r="CT66" s="219"/>
      <c r="CU66" s="219"/>
      <c r="CV66" s="219"/>
      <c r="CW66" s="219"/>
      <c r="CX66" s="219"/>
      <c r="CY66" s="219"/>
      <c r="CZ66" s="219"/>
      <c r="DA66" s="219"/>
      <c r="DB66" s="219"/>
      <c r="DC66" s="219"/>
    </row>
    <row r="67" spans="1:107" ht="18" customHeight="1" thickTop="1">
      <c r="A67" s="536">
        <v>8</v>
      </c>
      <c r="B67" s="537" t="s">
        <v>438</v>
      </c>
      <c r="C67" s="522">
        <f>C68+C69+C70+C71</f>
        <v>657</v>
      </c>
      <c r="D67" s="522">
        <f aca="true" t="shared" si="26" ref="D67:R67">D68+D69+D70+D71</f>
        <v>270</v>
      </c>
      <c r="E67" s="522">
        <f t="shared" si="26"/>
        <v>387</v>
      </c>
      <c r="F67" s="522">
        <f t="shared" si="26"/>
        <v>542</v>
      </c>
      <c r="G67" s="522">
        <f t="shared" si="26"/>
        <v>28</v>
      </c>
      <c r="H67" s="522">
        <f t="shared" si="26"/>
        <v>322</v>
      </c>
      <c r="I67" s="522">
        <f t="shared" si="26"/>
        <v>34</v>
      </c>
      <c r="J67" s="522">
        <f t="shared" si="26"/>
        <v>3</v>
      </c>
      <c r="K67" s="522">
        <f t="shared" si="26"/>
        <v>0</v>
      </c>
      <c r="L67" s="522">
        <f t="shared" si="26"/>
        <v>144</v>
      </c>
      <c r="M67" s="522">
        <f t="shared" si="26"/>
        <v>11</v>
      </c>
      <c r="N67" s="522">
        <f t="shared" si="26"/>
        <v>115</v>
      </c>
      <c r="O67" s="522">
        <f t="shared" si="26"/>
        <v>72</v>
      </c>
      <c r="P67" s="522">
        <f t="shared" si="26"/>
        <v>0</v>
      </c>
      <c r="Q67" s="522">
        <f t="shared" si="26"/>
        <v>43</v>
      </c>
      <c r="R67" s="522">
        <f t="shared" si="26"/>
        <v>270</v>
      </c>
      <c r="S67" s="538">
        <f t="shared" si="10"/>
        <v>71.40221402214023</v>
      </c>
      <c r="T67" s="334">
        <f t="shared" si="3"/>
        <v>0</v>
      </c>
      <c r="U67" s="334"/>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19"/>
      <c r="BZ67" s="219"/>
      <c r="CA67" s="219"/>
      <c r="CB67" s="219"/>
      <c r="CC67" s="219"/>
      <c r="CD67" s="219"/>
      <c r="CE67" s="219"/>
      <c r="CF67" s="219"/>
      <c r="CG67" s="219"/>
      <c r="CH67" s="219"/>
      <c r="CI67" s="219"/>
      <c r="CJ67" s="219"/>
      <c r="CK67" s="219"/>
      <c r="CL67" s="219"/>
      <c r="CM67" s="219"/>
      <c r="CN67" s="219"/>
      <c r="CO67" s="219"/>
      <c r="CP67" s="219"/>
      <c r="CQ67" s="219"/>
      <c r="CR67" s="219"/>
      <c r="CS67" s="219"/>
      <c r="CT67" s="219"/>
      <c r="CU67" s="219"/>
      <c r="CV67" s="219"/>
      <c r="CW67" s="219"/>
      <c r="CX67" s="219"/>
      <c r="CY67" s="219"/>
      <c r="CZ67" s="219"/>
      <c r="DA67" s="219"/>
      <c r="DB67" s="219"/>
      <c r="DC67" s="219"/>
    </row>
    <row r="68" spans="1:107" ht="19.5" customHeight="1">
      <c r="A68" s="220">
        <v>8.1</v>
      </c>
      <c r="B68" s="607" t="s">
        <v>439</v>
      </c>
      <c r="C68" s="363">
        <f>D68+E68</f>
        <v>194</v>
      </c>
      <c r="D68" s="591">
        <v>66</v>
      </c>
      <c r="E68" s="591">
        <v>128</v>
      </c>
      <c r="F68" s="363">
        <f>G68+H68+I68+J68+K68+L68+M68</f>
        <v>178</v>
      </c>
      <c r="G68" s="597">
        <v>26</v>
      </c>
      <c r="H68" s="597">
        <v>82</v>
      </c>
      <c r="I68" s="597">
        <v>3</v>
      </c>
      <c r="J68" s="597">
        <v>1</v>
      </c>
      <c r="K68" s="597">
        <v>0</v>
      </c>
      <c r="L68" s="597">
        <v>63</v>
      </c>
      <c r="M68" s="597">
        <v>3</v>
      </c>
      <c r="N68" s="363">
        <f>O68+P68+Q68</f>
        <v>16</v>
      </c>
      <c r="O68" s="591">
        <v>16</v>
      </c>
      <c r="P68" s="591">
        <v>0</v>
      </c>
      <c r="Q68" s="591">
        <v>0</v>
      </c>
      <c r="R68" s="533">
        <f>Q68+P68+O68+M68+L68</f>
        <v>82</v>
      </c>
      <c r="S68" s="367">
        <f t="shared" si="10"/>
        <v>62.92134831460674</v>
      </c>
      <c r="T68" s="334">
        <f t="shared" si="3"/>
        <v>0</v>
      </c>
      <c r="U68" s="334"/>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19"/>
      <c r="CB68" s="219"/>
      <c r="CC68" s="219"/>
      <c r="CD68" s="219"/>
      <c r="CE68" s="219"/>
      <c r="CF68" s="219"/>
      <c r="CG68" s="219"/>
      <c r="CH68" s="219"/>
      <c r="CI68" s="219"/>
      <c r="CJ68" s="219"/>
      <c r="CK68" s="219"/>
      <c r="CL68" s="219"/>
      <c r="CM68" s="219"/>
      <c r="CN68" s="219"/>
      <c r="CO68" s="219"/>
      <c r="CP68" s="219"/>
      <c r="CQ68" s="219"/>
      <c r="CR68" s="219"/>
      <c r="CS68" s="219"/>
      <c r="CT68" s="219"/>
      <c r="CU68" s="219"/>
      <c r="CV68" s="219"/>
      <c r="CW68" s="219"/>
      <c r="CX68" s="219"/>
      <c r="CY68" s="219"/>
      <c r="CZ68" s="219"/>
      <c r="DA68" s="219"/>
      <c r="DB68" s="219"/>
      <c r="DC68" s="219"/>
    </row>
    <row r="69" spans="1:107" ht="19.5" customHeight="1">
      <c r="A69" s="220">
        <v>8.2</v>
      </c>
      <c r="B69" s="607" t="s">
        <v>440</v>
      </c>
      <c r="C69" s="363">
        <f>D69+E69</f>
        <v>244</v>
      </c>
      <c r="D69" s="591">
        <v>129</v>
      </c>
      <c r="E69" s="591">
        <v>115</v>
      </c>
      <c r="F69" s="363">
        <f>G69+H69+I69+J69+K69+L69+M69</f>
        <v>176</v>
      </c>
      <c r="G69" s="597">
        <v>1</v>
      </c>
      <c r="H69" s="597">
        <v>111</v>
      </c>
      <c r="I69" s="597">
        <v>2</v>
      </c>
      <c r="J69" s="597">
        <v>0</v>
      </c>
      <c r="K69" s="597">
        <v>0</v>
      </c>
      <c r="L69" s="597">
        <v>62</v>
      </c>
      <c r="M69" s="597">
        <v>0</v>
      </c>
      <c r="N69" s="363">
        <f>O69+P69+Q69</f>
        <v>68</v>
      </c>
      <c r="O69" s="591">
        <v>27</v>
      </c>
      <c r="P69" s="591">
        <v>0</v>
      </c>
      <c r="Q69" s="591">
        <v>41</v>
      </c>
      <c r="R69" s="533">
        <f>Q69+P69+O69+M69+L69</f>
        <v>130</v>
      </c>
      <c r="S69" s="367">
        <f t="shared" si="10"/>
        <v>64.77272727272727</v>
      </c>
      <c r="T69" s="334">
        <f t="shared" si="3"/>
        <v>0</v>
      </c>
      <c r="U69" s="432"/>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c r="BC69" s="219"/>
      <c r="BD69" s="219"/>
      <c r="BE69" s="219"/>
      <c r="BF69" s="219"/>
      <c r="BG69" s="219"/>
      <c r="BH69" s="219"/>
      <c r="BI69" s="219"/>
      <c r="BJ69" s="219"/>
      <c r="BK69" s="219"/>
      <c r="BL69" s="219"/>
      <c r="BM69" s="219"/>
      <c r="BN69" s="219"/>
      <c r="BO69" s="219"/>
      <c r="BP69" s="219"/>
      <c r="BQ69" s="219"/>
      <c r="BR69" s="219"/>
      <c r="BS69" s="219"/>
      <c r="BT69" s="219"/>
      <c r="BU69" s="219"/>
      <c r="BV69" s="219"/>
      <c r="BW69" s="219"/>
      <c r="BX69" s="219"/>
      <c r="BY69" s="219"/>
      <c r="BZ69" s="219"/>
      <c r="CA69" s="219"/>
      <c r="CB69" s="219"/>
      <c r="CC69" s="219"/>
      <c r="CD69" s="219"/>
      <c r="CE69" s="219"/>
      <c r="CF69" s="219"/>
      <c r="CG69" s="219"/>
      <c r="CH69" s="219"/>
      <c r="CI69" s="219"/>
      <c r="CJ69" s="219"/>
      <c r="CK69" s="219"/>
      <c r="CL69" s="219"/>
      <c r="CM69" s="219"/>
      <c r="CN69" s="219"/>
      <c r="CO69" s="219"/>
      <c r="CP69" s="219"/>
      <c r="CQ69" s="219"/>
      <c r="CR69" s="219"/>
      <c r="CS69" s="219"/>
      <c r="CT69" s="219"/>
      <c r="CU69" s="219"/>
      <c r="CV69" s="219"/>
      <c r="CW69" s="219"/>
      <c r="CX69" s="219"/>
      <c r="CY69" s="219"/>
      <c r="CZ69" s="219"/>
      <c r="DA69" s="219"/>
      <c r="DB69" s="219"/>
      <c r="DC69" s="219"/>
    </row>
    <row r="70" spans="1:107" ht="18.75" customHeight="1">
      <c r="A70" s="220">
        <v>8.3</v>
      </c>
      <c r="B70" s="612" t="s">
        <v>441</v>
      </c>
      <c r="C70" s="363">
        <f>D70+E70</f>
        <v>33</v>
      </c>
      <c r="D70" s="591">
        <v>2</v>
      </c>
      <c r="E70" s="591">
        <v>31</v>
      </c>
      <c r="F70" s="363">
        <f>G70+H70+I70+J70+K70+L70+M70</f>
        <v>33</v>
      </c>
      <c r="G70" s="597">
        <v>0</v>
      </c>
      <c r="H70" s="597">
        <v>31</v>
      </c>
      <c r="I70" s="597">
        <v>2</v>
      </c>
      <c r="J70" s="597">
        <v>0</v>
      </c>
      <c r="K70" s="597">
        <v>0</v>
      </c>
      <c r="L70" s="597">
        <v>0</v>
      </c>
      <c r="M70" s="597">
        <v>0</v>
      </c>
      <c r="N70" s="363">
        <f>O70+P70+Q70</f>
        <v>0</v>
      </c>
      <c r="O70" s="591">
        <v>0</v>
      </c>
      <c r="P70" s="591">
        <v>0</v>
      </c>
      <c r="Q70" s="591">
        <v>0</v>
      </c>
      <c r="R70" s="533">
        <f>Q70+P70+O70+M70+L70</f>
        <v>0</v>
      </c>
      <c r="S70" s="367">
        <f t="shared" si="10"/>
        <v>100</v>
      </c>
      <c r="T70" s="334">
        <f t="shared" si="3"/>
        <v>0</v>
      </c>
      <c r="U70" s="432"/>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219"/>
      <c r="BZ70" s="219"/>
      <c r="CA70" s="219"/>
      <c r="CB70" s="219"/>
      <c r="CC70" s="219"/>
      <c r="CD70" s="219"/>
      <c r="CE70" s="219"/>
      <c r="CF70" s="219"/>
      <c r="CG70" s="219"/>
      <c r="CH70" s="219"/>
      <c r="CI70" s="219"/>
      <c r="CJ70" s="219"/>
      <c r="CK70" s="219"/>
      <c r="CL70" s="219"/>
      <c r="CM70" s="219"/>
      <c r="CN70" s="219"/>
      <c r="CO70" s="219"/>
      <c r="CP70" s="219"/>
      <c r="CQ70" s="219"/>
      <c r="CR70" s="219"/>
      <c r="CS70" s="219"/>
      <c r="CT70" s="219"/>
      <c r="CU70" s="219"/>
      <c r="CV70" s="219"/>
      <c r="CW70" s="219"/>
      <c r="CX70" s="219"/>
      <c r="CY70" s="219"/>
      <c r="CZ70" s="219"/>
      <c r="DA70" s="219"/>
      <c r="DB70" s="219"/>
      <c r="DC70" s="219"/>
    </row>
    <row r="71" spans="1:107" s="187" customFormat="1" ht="18.75" customHeight="1" thickBot="1">
      <c r="A71" s="221">
        <v>8.4</v>
      </c>
      <c r="B71" s="613" t="s">
        <v>650</v>
      </c>
      <c r="C71" s="446">
        <f>D71+E71</f>
        <v>186</v>
      </c>
      <c r="D71" s="609">
        <v>73</v>
      </c>
      <c r="E71" s="609">
        <v>113</v>
      </c>
      <c r="F71" s="446">
        <f>G71+H71+I71+J71+K71+L71+M71</f>
        <v>155</v>
      </c>
      <c r="G71" s="601">
        <v>1</v>
      </c>
      <c r="H71" s="601">
        <v>98</v>
      </c>
      <c r="I71" s="601">
        <v>27</v>
      </c>
      <c r="J71" s="601">
        <v>2</v>
      </c>
      <c r="K71" s="601">
        <v>0</v>
      </c>
      <c r="L71" s="601">
        <v>19</v>
      </c>
      <c r="M71" s="601">
        <v>8</v>
      </c>
      <c r="N71" s="446">
        <f>O71+P71+Q71</f>
        <v>31</v>
      </c>
      <c r="O71" s="609">
        <v>29</v>
      </c>
      <c r="P71" s="609">
        <v>0</v>
      </c>
      <c r="Q71" s="609">
        <v>2</v>
      </c>
      <c r="R71" s="535">
        <f>Q71+P71+O71+M71+L71</f>
        <v>58</v>
      </c>
      <c r="S71" s="368">
        <f t="shared" si="10"/>
        <v>82.58064516129032</v>
      </c>
      <c r="T71" s="334">
        <f t="shared" si="3"/>
        <v>0</v>
      </c>
      <c r="U71" s="334"/>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219"/>
      <c r="BH71" s="219"/>
      <c r="BI71" s="219"/>
      <c r="BJ71" s="219"/>
      <c r="BK71" s="219"/>
      <c r="BL71" s="219"/>
      <c r="BM71" s="219"/>
      <c r="BN71" s="219"/>
      <c r="BO71" s="219"/>
      <c r="BP71" s="219"/>
      <c r="BQ71" s="219"/>
      <c r="BR71" s="219"/>
      <c r="BS71" s="219"/>
      <c r="BT71" s="219"/>
      <c r="BU71" s="219"/>
      <c r="BV71" s="219"/>
      <c r="BW71" s="219"/>
      <c r="BX71" s="219"/>
      <c r="BY71" s="219"/>
      <c r="BZ71" s="219"/>
      <c r="CA71" s="219"/>
      <c r="CB71" s="219"/>
      <c r="CC71" s="219"/>
      <c r="CD71" s="219"/>
      <c r="CE71" s="219"/>
      <c r="CF71" s="219"/>
      <c r="CG71" s="219"/>
      <c r="CH71" s="219"/>
      <c r="CI71" s="219"/>
      <c r="CJ71" s="219"/>
      <c r="CK71" s="219"/>
      <c r="CL71" s="219"/>
      <c r="CM71" s="219"/>
      <c r="CN71" s="219"/>
      <c r="CO71" s="219"/>
      <c r="CP71" s="219"/>
      <c r="CQ71" s="219"/>
      <c r="CR71" s="219"/>
      <c r="CS71" s="219"/>
      <c r="CT71" s="219"/>
      <c r="CU71" s="219"/>
      <c r="CV71" s="219"/>
      <c r="CW71" s="219"/>
      <c r="CX71" s="219"/>
      <c r="CY71" s="219"/>
      <c r="CZ71" s="219"/>
      <c r="DA71" s="219"/>
      <c r="DB71" s="219"/>
      <c r="DC71" s="219"/>
    </row>
    <row r="72" spans="1:107" ht="19.5" customHeight="1" thickTop="1">
      <c r="A72" s="536">
        <v>9</v>
      </c>
      <c r="B72" s="537" t="s">
        <v>442</v>
      </c>
      <c r="C72" s="522">
        <f>SUM(C73:C75)</f>
        <v>1019</v>
      </c>
      <c r="D72" s="522">
        <f aca="true" t="shared" si="27" ref="D72:R72">SUM(D73:D75)</f>
        <v>510</v>
      </c>
      <c r="E72" s="522">
        <f t="shared" si="27"/>
        <v>509</v>
      </c>
      <c r="F72" s="522">
        <f t="shared" si="27"/>
        <v>942</v>
      </c>
      <c r="G72" s="522">
        <f t="shared" si="27"/>
        <v>8</v>
      </c>
      <c r="H72" s="522">
        <f t="shared" si="27"/>
        <v>532</v>
      </c>
      <c r="I72" s="522">
        <f t="shared" si="27"/>
        <v>15</v>
      </c>
      <c r="J72" s="522">
        <f t="shared" si="27"/>
        <v>14</v>
      </c>
      <c r="K72" s="522">
        <f t="shared" si="27"/>
        <v>4</v>
      </c>
      <c r="L72" s="522">
        <f t="shared" si="27"/>
        <v>369</v>
      </c>
      <c r="M72" s="522">
        <f t="shared" si="27"/>
        <v>0</v>
      </c>
      <c r="N72" s="522">
        <f t="shared" si="27"/>
        <v>77</v>
      </c>
      <c r="O72" s="522">
        <f t="shared" si="27"/>
        <v>77</v>
      </c>
      <c r="P72" s="522">
        <f t="shared" si="27"/>
        <v>0</v>
      </c>
      <c r="Q72" s="522">
        <f t="shared" si="27"/>
        <v>0</v>
      </c>
      <c r="R72" s="522">
        <f t="shared" si="27"/>
        <v>446</v>
      </c>
      <c r="S72" s="538">
        <f t="shared" si="10"/>
        <v>60.82802547770701</v>
      </c>
      <c r="T72" s="334">
        <f t="shared" si="3"/>
        <v>0</v>
      </c>
      <c r="U72" s="334"/>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19"/>
      <c r="BS72" s="219"/>
      <c r="BT72" s="219"/>
      <c r="BU72" s="219"/>
      <c r="BV72" s="219"/>
      <c r="BW72" s="219"/>
      <c r="BX72" s="219"/>
      <c r="BY72" s="219"/>
      <c r="BZ72" s="219"/>
      <c r="CA72" s="219"/>
      <c r="CB72" s="219"/>
      <c r="CC72" s="219"/>
      <c r="CD72" s="219"/>
      <c r="CE72" s="219"/>
      <c r="CF72" s="219"/>
      <c r="CG72" s="219"/>
      <c r="CH72" s="219"/>
      <c r="CI72" s="219"/>
      <c r="CJ72" s="219"/>
      <c r="CK72" s="219"/>
      <c r="CL72" s="219"/>
      <c r="CM72" s="219"/>
      <c r="CN72" s="219"/>
      <c r="CO72" s="219"/>
      <c r="CP72" s="219"/>
      <c r="CQ72" s="219"/>
      <c r="CR72" s="219"/>
      <c r="CS72" s="219"/>
      <c r="CT72" s="219"/>
      <c r="CU72" s="219"/>
      <c r="CV72" s="219"/>
      <c r="CW72" s="219"/>
      <c r="CX72" s="219"/>
      <c r="CY72" s="219"/>
      <c r="CZ72" s="219"/>
      <c r="DA72" s="219"/>
      <c r="DB72" s="219"/>
      <c r="DC72" s="219"/>
    </row>
    <row r="73" spans="1:107" ht="18" customHeight="1">
      <c r="A73" s="220">
        <v>9.1</v>
      </c>
      <c r="B73" s="559" t="s">
        <v>651</v>
      </c>
      <c r="C73" s="363">
        <f>D73+E73</f>
        <v>420</v>
      </c>
      <c r="D73" s="591">
        <v>205</v>
      </c>
      <c r="E73" s="591">
        <v>215</v>
      </c>
      <c r="F73" s="363">
        <f>G73+H73+I73+J73+K73+L73+M73</f>
        <v>399</v>
      </c>
      <c r="G73" s="591">
        <v>3</v>
      </c>
      <c r="H73" s="591">
        <v>217</v>
      </c>
      <c r="I73" s="591">
        <v>2</v>
      </c>
      <c r="J73" s="591">
        <v>8</v>
      </c>
      <c r="K73" s="591">
        <v>2</v>
      </c>
      <c r="L73" s="591">
        <v>167</v>
      </c>
      <c r="M73" s="591">
        <v>0</v>
      </c>
      <c r="N73" s="363">
        <f>O73+P73+Q73</f>
        <v>21</v>
      </c>
      <c r="O73" s="591">
        <v>21</v>
      </c>
      <c r="P73" s="591">
        <v>0</v>
      </c>
      <c r="Q73" s="591">
        <v>0</v>
      </c>
      <c r="R73" s="533">
        <f aca="true" t="shared" si="28" ref="R73:R78">Q73+P73+O73+M73+L73</f>
        <v>188</v>
      </c>
      <c r="S73" s="367">
        <f t="shared" si="10"/>
        <v>58.145363408521305</v>
      </c>
      <c r="T73" s="334">
        <f t="shared" si="3"/>
        <v>0</v>
      </c>
      <c r="U73" s="334"/>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19"/>
      <c r="BQ73" s="219"/>
      <c r="BR73" s="219"/>
      <c r="BS73" s="219"/>
      <c r="BT73" s="219"/>
      <c r="BU73" s="219"/>
      <c r="BV73" s="219"/>
      <c r="BW73" s="219"/>
      <c r="BX73" s="219"/>
      <c r="BY73" s="219"/>
      <c r="BZ73" s="219"/>
      <c r="CA73" s="219"/>
      <c r="CB73" s="219"/>
      <c r="CC73" s="219"/>
      <c r="CD73" s="219"/>
      <c r="CE73" s="219"/>
      <c r="CF73" s="219"/>
      <c r="CG73" s="219"/>
      <c r="CH73" s="219"/>
      <c r="CI73" s="219"/>
      <c r="CJ73" s="219"/>
      <c r="CK73" s="219"/>
      <c r="CL73" s="219"/>
      <c r="CM73" s="219"/>
      <c r="CN73" s="219"/>
      <c r="CO73" s="219"/>
      <c r="CP73" s="219"/>
      <c r="CQ73" s="219"/>
      <c r="CR73" s="219"/>
      <c r="CS73" s="219"/>
      <c r="CT73" s="219"/>
      <c r="CU73" s="219"/>
      <c r="CV73" s="219"/>
      <c r="CW73" s="219"/>
      <c r="CX73" s="219"/>
      <c r="CY73" s="219"/>
      <c r="CZ73" s="219"/>
      <c r="DA73" s="219"/>
      <c r="DB73" s="219"/>
      <c r="DC73" s="219"/>
    </row>
    <row r="74" spans="1:107" s="187" customFormat="1" ht="18" customHeight="1">
      <c r="A74" s="541">
        <v>9.2</v>
      </c>
      <c r="B74" s="559" t="s">
        <v>652</v>
      </c>
      <c r="C74" s="363">
        <f>D74+E74</f>
        <v>588</v>
      </c>
      <c r="D74" s="591">
        <v>305</v>
      </c>
      <c r="E74" s="591">
        <v>283</v>
      </c>
      <c r="F74" s="363">
        <f>G74+H74+I74+J74+K74+L74+M74</f>
        <v>532</v>
      </c>
      <c r="G74" s="591">
        <v>5</v>
      </c>
      <c r="H74" s="591">
        <v>304</v>
      </c>
      <c r="I74" s="591">
        <v>13</v>
      </c>
      <c r="J74" s="591">
        <v>6</v>
      </c>
      <c r="K74" s="591">
        <v>2</v>
      </c>
      <c r="L74" s="591">
        <v>202</v>
      </c>
      <c r="M74" s="591">
        <v>0</v>
      </c>
      <c r="N74" s="363">
        <f>O74+P74+Q74</f>
        <v>56</v>
      </c>
      <c r="O74" s="591">
        <v>56</v>
      </c>
      <c r="P74" s="591">
        <v>0</v>
      </c>
      <c r="Q74" s="591">
        <v>0</v>
      </c>
      <c r="R74" s="533">
        <f t="shared" si="28"/>
        <v>258</v>
      </c>
      <c r="S74" s="390">
        <f>(G74+H74+I74+J74+K74)*100/F74</f>
        <v>62.03007518796993</v>
      </c>
      <c r="T74" s="334">
        <f t="shared" si="3"/>
        <v>0</v>
      </c>
      <c r="U74" s="334"/>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c r="CH74" s="219"/>
      <c r="CI74" s="219"/>
      <c r="CJ74" s="219"/>
      <c r="CK74" s="219"/>
      <c r="CL74" s="219"/>
      <c r="CM74" s="219"/>
      <c r="CN74" s="219"/>
      <c r="CO74" s="219"/>
      <c r="CP74" s="219"/>
      <c r="CQ74" s="219"/>
      <c r="CR74" s="219"/>
      <c r="CS74" s="219"/>
      <c r="CT74" s="219"/>
      <c r="CU74" s="219"/>
      <c r="CV74" s="219"/>
      <c r="CW74" s="219"/>
      <c r="CX74" s="219"/>
      <c r="CY74" s="219"/>
      <c r="CZ74" s="219"/>
      <c r="DA74" s="219"/>
      <c r="DB74" s="219"/>
      <c r="DC74" s="219"/>
    </row>
    <row r="75" spans="1:107" s="187" customFormat="1" ht="18.75" customHeight="1" thickBot="1">
      <c r="A75" s="221">
        <v>9.3</v>
      </c>
      <c r="B75" s="600" t="s">
        <v>733</v>
      </c>
      <c r="C75" s="446">
        <f>D75+E75</f>
        <v>11</v>
      </c>
      <c r="D75" s="614">
        <v>0</v>
      </c>
      <c r="E75" s="614">
        <v>11</v>
      </c>
      <c r="F75" s="446">
        <f>G75+H75+I75+J75+K75+L75+M75</f>
        <v>11</v>
      </c>
      <c r="G75" s="614">
        <v>0</v>
      </c>
      <c r="H75" s="614">
        <v>11</v>
      </c>
      <c r="I75" s="614">
        <v>0</v>
      </c>
      <c r="J75" s="614">
        <v>0</v>
      </c>
      <c r="K75" s="614">
        <v>0</v>
      </c>
      <c r="L75" s="614">
        <v>0</v>
      </c>
      <c r="M75" s="614">
        <v>0</v>
      </c>
      <c r="N75" s="446">
        <f>O75+P75+Q75</f>
        <v>0</v>
      </c>
      <c r="O75" s="614">
        <v>0</v>
      </c>
      <c r="P75" s="614">
        <v>0</v>
      </c>
      <c r="Q75" s="614">
        <v>0</v>
      </c>
      <c r="R75" s="535">
        <f t="shared" si="28"/>
        <v>0</v>
      </c>
      <c r="S75" s="368">
        <f>(G75+H75+I75+J75+K75)*100/F75</f>
        <v>100</v>
      </c>
      <c r="T75" s="334">
        <f t="shared" si="3"/>
        <v>0</v>
      </c>
      <c r="U75" s="334"/>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19"/>
      <c r="BW75" s="219"/>
      <c r="BX75" s="219"/>
      <c r="BY75" s="219"/>
      <c r="BZ75" s="219"/>
      <c r="CA75" s="219"/>
      <c r="CB75" s="219"/>
      <c r="CC75" s="219"/>
      <c r="CD75" s="219"/>
      <c r="CE75" s="219"/>
      <c r="CF75" s="219"/>
      <c r="CG75" s="219"/>
      <c r="CH75" s="219"/>
      <c r="CI75" s="219"/>
      <c r="CJ75" s="219"/>
      <c r="CK75" s="219"/>
      <c r="CL75" s="219"/>
      <c r="CM75" s="219"/>
      <c r="CN75" s="219"/>
      <c r="CO75" s="219"/>
      <c r="CP75" s="219"/>
      <c r="CQ75" s="219"/>
      <c r="CR75" s="219"/>
      <c r="CS75" s="219"/>
      <c r="CT75" s="219"/>
      <c r="CU75" s="219"/>
      <c r="CV75" s="219"/>
      <c r="CW75" s="219"/>
      <c r="CX75" s="219"/>
      <c r="CY75" s="219"/>
      <c r="CZ75" s="219"/>
      <c r="DA75" s="219"/>
      <c r="DB75" s="219"/>
      <c r="DC75" s="219"/>
    </row>
    <row r="76" spans="1:107" ht="21.75" customHeight="1" thickTop="1">
      <c r="A76" s="536">
        <v>10</v>
      </c>
      <c r="B76" s="537" t="s">
        <v>443</v>
      </c>
      <c r="C76" s="522">
        <f>C77+C78</f>
        <v>228</v>
      </c>
      <c r="D76" s="522">
        <f aca="true" t="shared" si="29" ref="D76:Q76">D77+D78</f>
        <v>73</v>
      </c>
      <c r="E76" s="522">
        <f t="shared" si="29"/>
        <v>155</v>
      </c>
      <c r="F76" s="522">
        <f t="shared" si="29"/>
        <v>181</v>
      </c>
      <c r="G76" s="522">
        <f t="shared" si="29"/>
        <v>0</v>
      </c>
      <c r="H76" s="522">
        <f t="shared" si="29"/>
        <v>151</v>
      </c>
      <c r="I76" s="522">
        <f t="shared" si="29"/>
        <v>1</v>
      </c>
      <c r="J76" s="522">
        <f t="shared" si="29"/>
        <v>5</v>
      </c>
      <c r="K76" s="522">
        <f t="shared" si="29"/>
        <v>0</v>
      </c>
      <c r="L76" s="522">
        <f t="shared" si="29"/>
        <v>24</v>
      </c>
      <c r="M76" s="522">
        <f t="shared" si="29"/>
        <v>0</v>
      </c>
      <c r="N76" s="522">
        <f t="shared" si="29"/>
        <v>47</v>
      </c>
      <c r="O76" s="522">
        <f t="shared" si="29"/>
        <v>17</v>
      </c>
      <c r="P76" s="522">
        <f t="shared" si="29"/>
        <v>0</v>
      </c>
      <c r="Q76" s="522">
        <f t="shared" si="29"/>
        <v>30</v>
      </c>
      <c r="R76" s="522">
        <f t="shared" si="28"/>
        <v>71</v>
      </c>
      <c r="S76" s="538">
        <f t="shared" si="10"/>
        <v>86.74033149171271</v>
      </c>
      <c r="T76" s="334">
        <f t="shared" si="3"/>
        <v>0</v>
      </c>
      <c r="U76" s="334"/>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219"/>
      <c r="BZ76" s="219"/>
      <c r="CA76" s="219"/>
      <c r="CB76" s="219"/>
      <c r="CC76" s="219"/>
      <c r="CD76" s="219"/>
      <c r="CE76" s="219"/>
      <c r="CF76" s="219"/>
      <c r="CG76" s="219"/>
      <c r="CH76" s="219"/>
      <c r="CI76" s="219"/>
      <c r="CJ76" s="219"/>
      <c r="CK76" s="219"/>
      <c r="CL76" s="219"/>
      <c r="CM76" s="219"/>
      <c r="CN76" s="219"/>
      <c r="CO76" s="219"/>
      <c r="CP76" s="219"/>
      <c r="CQ76" s="219"/>
      <c r="CR76" s="219"/>
      <c r="CS76" s="219"/>
      <c r="CT76" s="219"/>
      <c r="CU76" s="219"/>
      <c r="CV76" s="219"/>
      <c r="CW76" s="219"/>
      <c r="CX76" s="219"/>
      <c r="CY76" s="219"/>
      <c r="CZ76" s="219"/>
      <c r="DA76" s="219"/>
      <c r="DB76" s="219"/>
      <c r="DC76" s="219"/>
    </row>
    <row r="77" spans="1:20" s="92" customFormat="1" ht="21" customHeight="1">
      <c r="A77" s="421">
        <v>10.1</v>
      </c>
      <c r="B77" s="559" t="s">
        <v>444</v>
      </c>
      <c r="C77" s="615">
        <f>D77+E77</f>
        <v>118</v>
      </c>
      <c r="D77" s="616">
        <v>13</v>
      </c>
      <c r="E77" s="616">
        <v>105</v>
      </c>
      <c r="F77" s="615">
        <f>G77+H77+I77+J77+K77+L77+M77</f>
        <v>110</v>
      </c>
      <c r="G77" s="616">
        <v>0</v>
      </c>
      <c r="H77" s="616">
        <v>99</v>
      </c>
      <c r="I77" s="616">
        <v>0</v>
      </c>
      <c r="J77" s="616">
        <v>0</v>
      </c>
      <c r="K77" s="616">
        <v>0</v>
      </c>
      <c r="L77" s="616">
        <v>11</v>
      </c>
      <c r="M77" s="616">
        <v>0</v>
      </c>
      <c r="N77" s="615">
        <f>O77+P77+Q77</f>
        <v>8</v>
      </c>
      <c r="O77" s="616">
        <v>8</v>
      </c>
      <c r="P77" s="616">
        <v>0</v>
      </c>
      <c r="Q77" s="616">
        <v>0</v>
      </c>
      <c r="R77" s="542">
        <f t="shared" si="28"/>
        <v>19</v>
      </c>
      <c r="S77" s="367">
        <f t="shared" si="10"/>
        <v>90</v>
      </c>
      <c r="T77" s="334">
        <f t="shared" si="3"/>
        <v>0</v>
      </c>
    </row>
    <row r="78" spans="1:20" s="149" customFormat="1" ht="18" customHeight="1" thickBot="1">
      <c r="A78" s="422">
        <v>10.2</v>
      </c>
      <c r="B78" s="595" t="s">
        <v>647</v>
      </c>
      <c r="C78" s="446">
        <f>D78+E78</f>
        <v>110</v>
      </c>
      <c r="D78" s="609">
        <v>60</v>
      </c>
      <c r="E78" s="609">
        <v>50</v>
      </c>
      <c r="F78" s="446">
        <f>G78+H78+I78+J78+K78+L78+M78</f>
        <v>71</v>
      </c>
      <c r="G78" s="609">
        <v>0</v>
      </c>
      <c r="H78" s="609">
        <v>52</v>
      </c>
      <c r="I78" s="609">
        <v>1</v>
      </c>
      <c r="J78" s="609">
        <v>5</v>
      </c>
      <c r="K78" s="609">
        <v>0</v>
      </c>
      <c r="L78" s="609">
        <v>13</v>
      </c>
      <c r="M78" s="609">
        <v>0</v>
      </c>
      <c r="N78" s="446">
        <f>O78+P78+Q78</f>
        <v>39</v>
      </c>
      <c r="O78" s="609">
        <v>9</v>
      </c>
      <c r="P78" s="609">
        <v>0</v>
      </c>
      <c r="Q78" s="609">
        <v>30</v>
      </c>
      <c r="R78" s="535">
        <f t="shared" si="28"/>
        <v>52</v>
      </c>
      <c r="S78" s="368">
        <f t="shared" si="10"/>
        <v>81.69014084507042</v>
      </c>
      <c r="T78" s="334">
        <f>N78+F78-C78</f>
        <v>0</v>
      </c>
    </row>
    <row r="79" spans="1:19" s="101" customFormat="1" ht="21" customHeight="1" thickTop="1">
      <c r="A79" s="994" t="s">
        <v>384</v>
      </c>
      <c r="B79" s="994"/>
      <c r="C79" s="994"/>
      <c r="D79" s="994"/>
      <c r="E79" s="994"/>
      <c r="F79" s="118"/>
      <c r="G79" s="183"/>
      <c r="H79" s="92"/>
      <c r="I79" s="92"/>
      <c r="J79" s="92"/>
      <c r="K79" s="92"/>
      <c r="L79" s="1136" t="s">
        <v>384</v>
      </c>
      <c r="M79" s="1136"/>
      <c r="N79" s="1136"/>
      <c r="O79" s="1136"/>
      <c r="P79" s="1136"/>
      <c r="Q79" s="1136"/>
      <c r="R79" s="1136"/>
      <c r="S79" s="1136"/>
    </row>
    <row r="80" spans="1:19" ht="18.75" customHeight="1">
      <c r="A80" s="146"/>
      <c r="B80" s="1068" t="s">
        <v>43</v>
      </c>
      <c r="C80" s="1068"/>
      <c r="D80" s="1068"/>
      <c r="E80" s="1068"/>
      <c r="F80" s="95"/>
      <c r="G80" s="149"/>
      <c r="H80" s="149"/>
      <c r="I80" s="149"/>
      <c r="J80" s="149"/>
      <c r="K80" s="149"/>
      <c r="L80" s="1139" t="s">
        <v>658</v>
      </c>
      <c r="M80" s="1139"/>
      <c r="N80" s="1139"/>
      <c r="O80" s="1139"/>
      <c r="P80" s="1139"/>
      <c r="Q80" s="1139"/>
      <c r="R80" s="1139"/>
      <c r="S80" s="1139"/>
    </row>
    <row r="81" spans="1:19" ht="19.5" customHeight="1">
      <c r="A81" s="101"/>
      <c r="B81" s="984"/>
      <c r="C81" s="984"/>
      <c r="D81" s="984"/>
      <c r="E81" s="208"/>
      <c r="F81" s="208"/>
      <c r="G81" s="208"/>
      <c r="H81" s="208"/>
      <c r="I81" s="208"/>
      <c r="J81" s="208"/>
      <c r="K81" s="208"/>
      <c r="L81" s="987" t="s">
        <v>656</v>
      </c>
      <c r="M81" s="987"/>
      <c r="N81" s="987"/>
      <c r="O81" s="987"/>
      <c r="P81" s="987"/>
      <c r="Q81" s="987"/>
      <c r="R81" s="987"/>
      <c r="S81" s="987"/>
    </row>
    <row r="82" spans="4:18" ht="15.75" customHeight="1" hidden="1">
      <c r="D82" s="208"/>
      <c r="E82" s="208"/>
      <c r="F82" s="208"/>
      <c r="G82" s="208"/>
      <c r="H82" s="208"/>
      <c r="I82" s="208"/>
      <c r="J82" s="208"/>
      <c r="K82" s="208"/>
      <c r="L82" s="208"/>
      <c r="M82" s="208"/>
      <c r="N82" s="208"/>
      <c r="O82" s="208"/>
      <c r="P82" s="208"/>
      <c r="Q82" s="529"/>
      <c r="R82" s="529"/>
    </row>
    <row r="83" spans="4:18" ht="15.75" customHeight="1" hidden="1">
      <c r="D83" s="208"/>
      <c r="E83" s="208"/>
      <c r="F83" s="208"/>
      <c r="G83" s="208"/>
      <c r="H83" s="208"/>
      <c r="I83" s="208"/>
      <c r="J83" s="208"/>
      <c r="K83" s="208"/>
      <c r="L83" s="208"/>
      <c r="M83" s="208"/>
      <c r="N83" s="208"/>
      <c r="O83" s="208"/>
      <c r="P83" s="208"/>
      <c r="Q83" s="529"/>
      <c r="R83" s="529"/>
    </row>
    <row r="84" spans="1:18" ht="15.75" customHeight="1" hidden="1">
      <c r="A84" s="156" t="s">
        <v>188</v>
      </c>
      <c r="D84" s="208"/>
      <c r="E84" s="208"/>
      <c r="F84" s="208"/>
      <c r="G84" s="208"/>
      <c r="H84" s="208"/>
      <c r="I84" s="208"/>
      <c r="J84" s="208"/>
      <c r="K84" s="208"/>
      <c r="L84" s="208"/>
      <c r="M84" s="208"/>
      <c r="N84" s="208"/>
      <c r="O84" s="208"/>
      <c r="P84" s="208"/>
      <c r="Q84" s="529"/>
      <c r="R84" s="529"/>
    </row>
    <row r="85" spans="2:18" ht="15.75" customHeight="1" hidden="1">
      <c r="B85" s="1131" t="s">
        <v>215</v>
      </c>
      <c r="C85" s="1131"/>
      <c r="D85" s="1131"/>
      <c r="E85" s="1131"/>
      <c r="F85" s="1131"/>
      <c r="G85" s="1131"/>
      <c r="H85" s="1131"/>
      <c r="I85" s="1131"/>
      <c r="J85" s="1131"/>
      <c r="K85" s="158"/>
      <c r="L85" s="208"/>
      <c r="M85" s="208"/>
      <c r="N85" s="208"/>
      <c r="O85" s="208"/>
      <c r="P85" s="208"/>
      <c r="Q85" s="529"/>
      <c r="R85" s="529"/>
    </row>
    <row r="86" spans="2:18" ht="15.75" customHeight="1" hidden="1">
      <c r="B86" s="1133" t="s">
        <v>248</v>
      </c>
      <c r="C86" s="1133"/>
      <c r="D86" s="1133"/>
      <c r="E86" s="1133"/>
      <c r="F86" s="1133"/>
      <c r="G86" s="1133"/>
      <c r="H86" s="1133"/>
      <c r="I86" s="1133"/>
      <c r="J86" s="1133"/>
      <c r="K86" s="158"/>
      <c r="L86" s="208"/>
      <c r="M86" s="208"/>
      <c r="N86" s="208"/>
      <c r="O86" s="208"/>
      <c r="P86" s="208"/>
      <c r="Q86" s="529"/>
      <c r="R86" s="529"/>
    </row>
    <row r="87" spans="2:18" ht="15.75" customHeight="1">
      <c r="B87" s="1131"/>
      <c r="C87" s="1131"/>
      <c r="D87" s="1131"/>
      <c r="E87" s="1131"/>
      <c r="F87" s="1131"/>
      <c r="G87" s="1131"/>
      <c r="H87" s="1131"/>
      <c r="I87" s="1131"/>
      <c r="J87" s="1131"/>
      <c r="K87" s="1131"/>
      <c r="L87" s="208"/>
      <c r="M87" s="208"/>
      <c r="N87" s="208"/>
      <c r="O87" s="208"/>
      <c r="P87" s="208"/>
      <c r="Q87" s="529"/>
      <c r="R87" s="529"/>
    </row>
    <row r="88" spans="1:18" ht="15.75">
      <c r="A88" s="159"/>
      <c r="B88" s="1134"/>
      <c r="C88" s="1134"/>
      <c r="D88" s="1134"/>
      <c r="E88" s="1134"/>
      <c r="F88" s="1134"/>
      <c r="G88" s="1134"/>
      <c r="H88" s="1134"/>
      <c r="I88" s="1134"/>
      <c r="J88" s="1134"/>
      <c r="K88" s="1134"/>
      <c r="L88" s="159"/>
      <c r="M88" s="529"/>
      <c r="N88" s="529"/>
      <c r="O88" s="529"/>
      <c r="P88" s="529"/>
      <c r="Q88" s="529"/>
      <c r="R88" s="529"/>
    </row>
    <row r="89" spans="1:19" ht="24" customHeight="1">
      <c r="A89" s="159"/>
      <c r="B89" s="1135" t="s">
        <v>390</v>
      </c>
      <c r="C89" s="1135"/>
      <c r="D89" s="1135"/>
      <c r="E89" s="1135"/>
      <c r="F89" s="159"/>
      <c r="G89" s="159"/>
      <c r="H89" s="159"/>
      <c r="I89" s="159"/>
      <c r="J89" s="159"/>
      <c r="K89" s="159"/>
      <c r="L89" s="1132" t="s">
        <v>2</v>
      </c>
      <c r="M89" s="1132"/>
      <c r="N89" s="1132"/>
      <c r="O89" s="1132"/>
      <c r="P89" s="1132"/>
      <c r="Q89" s="1132"/>
      <c r="R89" s="1132"/>
      <c r="S89" s="1132"/>
    </row>
  </sheetData>
  <sheetProtection/>
  <mergeCells count="47">
    <mergeCell ref="A2:D2"/>
    <mergeCell ref="P2:S2"/>
    <mergeCell ref="P4:S4"/>
    <mergeCell ref="F2:O2"/>
    <mergeCell ref="F4:O4"/>
    <mergeCell ref="A6:B10"/>
    <mergeCell ref="C6:E6"/>
    <mergeCell ref="D7:E8"/>
    <mergeCell ref="C7:C10"/>
    <mergeCell ref="S6:S10"/>
    <mergeCell ref="F7:M7"/>
    <mergeCell ref="N7:Q7"/>
    <mergeCell ref="O8:Q8"/>
    <mergeCell ref="Q9:Q10"/>
    <mergeCell ref="P9:P10"/>
    <mergeCell ref="O9:O10"/>
    <mergeCell ref="M9:M10"/>
    <mergeCell ref="J9:J10"/>
    <mergeCell ref="F8:F10"/>
    <mergeCell ref="F6:Q6"/>
    <mergeCell ref="R6:R10"/>
    <mergeCell ref="N8:N10"/>
    <mergeCell ref="A79:E79"/>
    <mergeCell ref="D9:D10"/>
    <mergeCell ref="K9:K10"/>
    <mergeCell ref="L9:L10"/>
    <mergeCell ref="A12:B12"/>
    <mergeCell ref="E9:E10"/>
    <mergeCell ref="A11:B11"/>
    <mergeCell ref="B80:E80"/>
    <mergeCell ref="F1:O1"/>
    <mergeCell ref="F3:O3"/>
    <mergeCell ref="A3:D3"/>
    <mergeCell ref="L79:S79"/>
    <mergeCell ref="G8:M8"/>
    <mergeCell ref="G9:G10"/>
    <mergeCell ref="H9:H10"/>
    <mergeCell ref="I9:I10"/>
    <mergeCell ref="L80:S80"/>
    <mergeCell ref="B81:D81"/>
    <mergeCell ref="L81:S81"/>
    <mergeCell ref="B85:J85"/>
    <mergeCell ref="L89:S89"/>
    <mergeCell ref="B86:J86"/>
    <mergeCell ref="B87:K87"/>
    <mergeCell ref="B88:K88"/>
    <mergeCell ref="B89:E89"/>
  </mergeCells>
  <printOptions/>
  <pageMargins left="0.04" right="0" top="0.25" bottom="0.25" header="0.5"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21"/>
  </sheetPr>
  <dimension ref="A1:L29"/>
  <sheetViews>
    <sheetView zoomScalePageLayoutView="0" workbookViewId="0" topLeftCell="A10">
      <selection activeCell="G21" sqref="G21:J21"/>
    </sheetView>
  </sheetViews>
  <sheetFormatPr defaultColWidth="9.00390625" defaultRowHeight="15.75"/>
  <cols>
    <col min="1" max="1" width="3.75390625" style="0" customWidth="1"/>
    <col min="2" max="2" width="29.75390625" style="0" customWidth="1"/>
    <col min="3" max="3" width="12.125" style="0" customWidth="1"/>
    <col min="4" max="4" width="14.50390625" style="0" customWidth="1"/>
    <col min="5" max="5" width="10.125" style="0" customWidth="1"/>
    <col min="6" max="6" width="10.25390625" style="0" customWidth="1"/>
    <col min="7" max="7" width="10.00390625" style="0" customWidth="1"/>
    <col min="8" max="9" width="12.25390625" style="0" customWidth="1"/>
    <col min="10" max="10" width="13.00390625" style="0" customWidth="1"/>
    <col min="11" max="11" width="13.375" style="0" customWidth="1"/>
  </cols>
  <sheetData>
    <row r="1" spans="1:10" ht="15.75">
      <c r="A1" s="802" t="s">
        <v>661</v>
      </c>
      <c r="B1" s="802"/>
      <c r="C1" s="802"/>
      <c r="D1" s="467"/>
      <c r="E1" s="468"/>
      <c r="F1" s="468"/>
      <c r="G1" s="468"/>
      <c r="H1" s="802" t="s">
        <v>662</v>
      </c>
      <c r="I1" s="802"/>
      <c r="J1" s="802"/>
    </row>
    <row r="2" spans="1:10" ht="15.75">
      <c r="A2" s="803" t="s">
        <v>692</v>
      </c>
      <c r="B2" s="803"/>
      <c r="C2" s="803"/>
      <c r="D2" s="486"/>
      <c r="E2" s="468"/>
      <c r="F2" s="468"/>
      <c r="G2" s="468"/>
      <c r="H2" s="802" t="s">
        <v>693</v>
      </c>
      <c r="I2" s="802"/>
      <c r="J2" s="802"/>
    </row>
    <row r="3" spans="1:10" ht="15.75">
      <c r="A3" s="468"/>
      <c r="B3" s="467"/>
      <c r="C3" s="468"/>
      <c r="D3" s="468"/>
      <c r="E3" s="468"/>
      <c r="F3" s="468"/>
      <c r="G3" s="468"/>
      <c r="H3" s="467"/>
      <c r="I3" s="467"/>
      <c r="J3" s="467"/>
    </row>
    <row r="4" spans="1:10" ht="18.75">
      <c r="A4" s="804" t="s">
        <v>694</v>
      </c>
      <c r="B4" s="804"/>
      <c r="C4" s="804"/>
      <c r="D4" s="804"/>
      <c r="E4" s="804"/>
      <c r="F4" s="804"/>
      <c r="G4" s="804"/>
      <c r="H4" s="804"/>
      <c r="I4" s="804"/>
      <c r="J4" s="804"/>
    </row>
    <row r="5" spans="1:10" ht="15.75">
      <c r="A5" s="468"/>
      <c r="B5" s="467"/>
      <c r="C5" s="468"/>
      <c r="D5" s="468"/>
      <c r="E5" s="468"/>
      <c r="F5" s="468"/>
      <c r="G5" s="468"/>
      <c r="H5" s="468"/>
      <c r="I5" s="468"/>
      <c r="J5" s="468"/>
    </row>
    <row r="6" spans="1:10" ht="39" customHeight="1">
      <c r="A6" s="805" t="s">
        <v>666</v>
      </c>
      <c r="B6" s="808" t="s">
        <v>294</v>
      </c>
      <c r="C6" s="811" t="s">
        <v>695</v>
      </c>
      <c r="D6" s="811" t="s">
        <v>696</v>
      </c>
      <c r="E6" s="811" t="s">
        <v>697</v>
      </c>
      <c r="F6" s="811"/>
      <c r="G6" s="811"/>
      <c r="H6" s="811" t="s">
        <v>698</v>
      </c>
      <c r="I6" s="811"/>
      <c r="J6" s="811"/>
    </row>
    <row r="7" spans="1:10" ht="38.25">
      <c r="A7" s="806"/>
      <c r="B7" s="809"/>
      <c r="C7" s="811"/>
      <c r="D7" s="811"/>
      <c r="E7" s="496" t="s">
        <v>699</v>
      </c>
      <c r="F7" s="496" t="s">
        <v>700</v>
      </c>
      <c r="G7" s="496" t="s">
        <v>701</v>
      </c>
      <c r="H7" s="496" t="s">
        <v>702</v>
      </c>
      <c r="I7" s="496" t="s">
        <v>703</v>
      </c>
      <c r="J7" s="496" t="s">
        <v>704</v>
      </c>
    </row>
    <row r="8" spans="1:10" ht="15.75">
      <c r="A8" s="807"/>
      <c r="B8" s="810"/>
      <c r="C8" s="471">
        <v>1</v>
      </c>
      <c r="D8" s="471">
        <v>2</v>
      </c>
      <c r="E8" s="471">
        <v>3</v>
      </c>
      <c r="F8" s="471">
        <v>4</v>
      </c>
      <c r="G8" s="471">
        <v>5</v>
      </c>
      <c r="H8" s="471">
        <v>6</v>
      </c>
      <c r="I8" s="471">
        <v>7</v>
      </c>
      <c r="J8" s="471">
        <v>8</v>
      </c>
    </row>
    <row r="9" spans="1:11" ht="15.75">
      <c r="A9" s="812" t="s">
        <v>165</v>
      </c>
      <c r="B9" s="812"/>
      <c r="C9" s="498">
        <f>SUM(C10:C20)</f>
        <v>326</v>
      </c>
      <c r="D9" s="498">
        <f aca="true" t="shared" si="0" ref="D9:J9">SUM(D10:D20)</f>
        <v>187728818</v>
      </c>
      <c r="E9" s="498">
        <f t="shared" si="0"/>
        <v>33</v>
      </c>
      <c r="F9" s="498">
        <f t="shared" si="0"/>
        <v>57</v>
      </c>
      <c r="G9" s="498">
        <f t="shared" si="0"/>
        <v>236</v>
      </c>
      <c r="H9" s="498">
        <f t="shared" si="0"/>
        <v>49287125</v>
      </c>
      <c r="I9" s="498">
        <f t="shared" si="0"/>
        <v>10186018</v>
      </c>
      <c r="J9" s="498">
        <f t="shared" si="0"/>
        <v>128255675</v>
      </c>
      <c r="K9" s="398">
        <f>H9+I9+J9-D9</f>
        <v>0</v>
      </c>
    </row>
    <row r="10" spans="1:12" ht="22.5" customHeight="1">
      <c r="A10" s="487">
        <v>1</v>
      </c>
      <c r="B10" s="577" t="s">
        <v>705</v>
      </c>
      <c r="C10" s="578">
        <f>E10+F10+G10</f>
        <v>65</v>
      </c>
      <c r="D10" s="578">
        <f>H10+I10+J10</f>
        <v>63956344</v>
      </c>
      <c r="E10" s="578">
        <v>1</v>
      </c>
      <c r="F10" s="578">
        <v>0</v>
      </c>
      <c r="G10" s="578">
        <f>22+16+8+1+7+10</f>
        <v>64</v>
      </c>
      <c r="H10" s="578">
        <f>1279094+0</f>
        <v>1279094</v>
      </c>
      <c r="I10" s="578">
        <v>0</v>
      </c>
      <c r="J10" s="578">
        <v>62677250</v>
      </c>
      <c r="K10" s="398">
        <f aca="true" t="shared" si="1" ref="K10:K20">H10+I10+J10-D10</f>
        <v>0</v>
      </c>
      <c r="L10">
        <f>16207459+7954668+5949151+1396683+10365206+22495228+0</f>
        <v>64368395</v>
      </c>
    </row>
    <row r="11" spans="1:11" ht="19.5" customHeight="1">
      <c r="A11" s="487">
        <v>2</v>
      </c>
      <c r="B11" s="577" t="s">
        <v>706</v>
      </c>
      <c r="C11" s="578">
        <f aca="true" t="shared" si="2" ref="C11:C20">E11+F11+G11</f>
        <v>38</v>
      </c>
      <c r="D11" s="578">
        <f aca="true" t="shared" si="3" ref="D11:D20">H11+I11+J11</f>
        <v>20469873</v>
      </c>
      <c r="E11" s="578">
        <v>1</v>
      </c>
      <c r="F11" s="578">
        <v>3</v>
      </c>
      <c r="G11" s="578">
        <v>34</v>
      </c>
      <c r="H11" s="578">
        <v>422437</v>
      </c>
      <c r="I11" s="578">
        <v>5460351</v>
      </c>
      <c r="J11" s="578">
        <v>14587085</v>
      </c>
      <c r="K11" s="398">
        <f t="shared" si="1"/>
        <v>0</v>
      </c>
    </row>
    <row r="12" spans="1:11" ht="19.5" customHeight="1">
      <c r="A12" s="487">
        <v>3</v>
      </c>
      <c r="B12" s="577" t="s">
        <v>707</v>
      </c>
      <c r="C12" s="578">
        <f t="shared" si="2"/>
        <v>170</v>
      </c>
      <c r="D12" s="578">
        <f t="shared" si="3"/>
        <v>11757431</v>
      </c>
      <c r="E12" s="578">
        <v>18</v>
      </c>
      <c r="F12" s="578">
        <v>45</v>
      </c>
      <c r="G12" s="578">
        <v>107</v>
      </c>
      <c r="H12" s="578">
        <v>2235000</v>
      </c>
      <c r="I12" s="578">
        <v>3676550</v>
      </c>
      <c r="J12" s="578">
        <v>5845881</v>
      </c>
      <c r="K12" s="398">
        <f t="shared" si="1"/>
        <v>0</v>
      </c>
    </row>
    <row r="13" spans="1:11" ht="21.75" customHeight="1">
      <c r="A13" s="487">
        <v>4</v>
      </c>
      <c r="B13" s="577" t="s">
        <v>448</v>
      </c>
      <c r="C13" s="578">
        <f t="shared" si="2"/>
        <v>13</v>
      </c>
      <c r="D13" s="578">
        <f t="shared" si="3"/>
        <v>6153774</v>
      </c>
      <c r="E13" s="578">
        <v>6</v>
      </c>
      <c r="F13" s="578">
        <v>5</v>
      </c>
      <c r="G13" s="578">
        <v>2</v>
      </c>
      <c r="H13" s="578">
        <v>5417128</v>
      </c>
      <c r="I13" s="578">
        <v>645496</v>
      </c>
      <c r="J13" s="578">
        <v>91150</v>
      </c>
      <c r="K13" s="398">
        <f t="shared" si="1"/>
        <v>0</v>
      </c>
    </row>
    <row r="14" spans="1:11" ht="18.75" customHeight="1">
      <c r="A14" s="487">
        <v>5</v>
      </c>
      <c r="B14" s="577" t="s">
        <v>449</v>
      </c>
      <c r="C14" s="578">
        <f t="shared" si="2"/>
        <v>8</v>
      </c>
      <c r="D14" s="578">
        <f t="shared" si="3"/>
        <v>724503</v>
      </c>
      <c r="E14" s="578">
        <v>2</v>
      </c>
      <c r="F14" s="578">
        <v>3</v>
      </c>
      <c r="G14" s="578">
        <v>3</v>
      </c>
      <c r="H14" s="578">
        <v>0</v>
      </c>
      <c r="I14" s="578">
        <v>388621</v>
      </c>
      <c r="J14" s="578">
        <v>335882</v>
      </c>
      <c r="K14" s="398">
        <f t="shared" si="1"/>
        <v>0</v>
      </c>
    </row>
    <row r="15" spans="1:11" ht="19.5" customHeight="1">
      <c r="A15" s="487">
        <v>6</v>
      </c>
      <c r="B15" s="577" t="s">
        <v>450</v>
      </c>
      <c r="C15" s="578">
        <f t="shared" si="2"/>
        <v>14</v>
      </c>
      <c r="D15" s="578">
        <f t="shared" si="3"/>
        <v>3014286</v>
      </c>
      <c r="E15" s="667">
        <v>1</v>
      </c>
      <c r="F15" s="667">
        <v>1</v>
      </c>
      <c r="G15" s="667">
        <v>12</v>
      </c>
      <c r="H15" s="667">
        <v>294000</v>
      </c>
      <c r="I15" s="667">
        <v>15000</v>
      </c>
      <c r="J15" s="667">
        <v>2705286</v>
      </c>
      <c r="K15" s="398">
        <f t="shared" si="1"/>
        <v>0</v>
      </c>
    </row>
    <row r="16" spans="1:11" ht="18.75" customHeight="1">
      <c r="A16" s="487">
        <v>7</v>
      </c>
      <c r="B16" s="577" t="s">
        <v>451</v>
      </c>
      <c r="C16" s="578">
        <f t="shared" si="2"/>
        <v>0</v>
      </c>
      <c r="D16" s="578">
        <f t="shared" si="3"/>
        <v>0</v>
      </c>
      <c r="E16" s="578">
        <v>0</v>
      </c>
      <c r="F16" s="578">
        <v>0</v>
      </c>
      <c r="G16" s="578">
        <v>0</v>
      </c>
      <c r="H16" s="578">
        <v>0</v>
      </c>
      <c r="I16" s="578">
        <v>0</v>
      </c>
      <c r="J16" s="578">
        <v>0</v>
      </c>
      <c r="K16" s="398">
        <f t="shared" si="1"/>
        <v>0</v>
      </c>
    </row>
    <row r="17" spans="1:11" ht="21" customHeight="1">
      <c r="A17" s="487">
        <v>8</v>
      </c>
      <c r="B17" s="577" t="s">
        <v>708</v>
      </c>
      <c r="C17" s="578">
        <f t="shared" si="2"/>
        <v>1</v>
      </c>
      <c r="D17" s="578">
        <f t="shared" si="3"/>
        <v>17180827</v>
      </c>
      <c r="E17" s="578">
        <v>1</v>
      </c>
      <c r="F17" s="578">
        <v>0</v>
      </c>
      <c r="G17" s="578">
        <v>0</v>
      </c>
      <c r="H17" s="578">
        <v>17180827</v>
      </c>
      <c r="I17" s="578">
        <v>0</v>
      </c>
      <c r="J17" s="578">
        <v>0</v>
      </c>
      <c r="K17" s="398">
        <f t="shared" si="1"/>
        <v>0</v>
      </c>
    </row>
    <row r="18" spans="1:11" ht="19.5" customHeight="1">
      <c r="A18" s="487">
        <v>9</v>
      </c>
      <c r="B18" s="577" t="s">
        <v>709</v>
      </c>
      <c r="C18" s="578">
        <f t="shared" si="2"/>
        <v>8</v>
      </c>
      <c r="D18" s="578">
        <f t="shared" si="3"/>
        <v>74270</v>
      </c>
      <c r="E18" s="578">
        <v>0</v>
      </c>
      <c r="F18" s="578">
        <v>0</v>
      </c>
      <c r="G18" s="578">
        <v>8</v>
      </c>
      <c r="H18" s="578">
        <v>0</v>
      </c>
      <c r="I18" s="578">
        <v>0</v>
      </c>
      <c r="J18" s="578">
        <v>74270</v>
      </c>
      <c r="K18" s="398">
        <f t="shared" si="1"/>
        <v>0</v>
      </c>
    </row>
    <row r="19" spans="1:11" ht="20.25" customHeight="1">
      <c r="A19" s="487">
        <v>10</v>
      </c>
      <c r="B19" s="577" t="s">
        <v>454</v>
      </c>
      <c r="C19" s="578">
        <f t="shared" si="2"/>
        <v>7</v>
      </c>
      <c r="D19" s="578">
        <f t="shared" si="3"/>
        <v>63956344</v>
      </c>
      <c r="E19" s="578">
        <v>3</v>
      </c>
      <c r="F19" s="578">
        <v>0</v>
      </c>
      <c r="G19" s="578">
        <v>4</v>
      </c>
      <c r="H19" s="578">
        <v>22458639</v>
      </c>
      <c r="I19" s="578">
        <v>0</v>
      </c>
      <c r="J19" s="578">
        <v>41497705</v>
      </c>
      <c r="K19" s="398">
        <f t="shared" si="1"/>
        <v>0</v>
      </c>
    </row>
    <row r="20" spans="1:11" ht="18" customHeight="1" thickBot="1">
      <c r="A20" s="488">
        <v>11</v>
      </c>
      <c r="B20" s="668" t="s">
        <v>455</v>
      </c>
      <c r="C20" s="669">
        <f t="shared" si="2"/>
        <v>2</v>
      </c>
      <c r="D20" s="669">
        <f t="shared" si="3"/>
        <v>441166</v>
      </c>
      <c r="E20" s="669">
        <v>0</v>
      </c>
      <c r="F20" s="669">
        <v>0</v>
      </c>
      <c r="G20" s="669">
        <v>2</v>
      </c>
      <c r="H20" s="669">
        <v>0</v>
      </c>
      <c r="I20" s="669">
        <v>0</v>
      </c>
      <c r="J20" s="669">
        <v>441166</v>
      </c>
      <c r="K20" s="398">
        <f t="shared" si="1"/>
        <v>0</v>
      </c>
    </row>
    <row r="21" spans="1:10" ht="17.25" thickTop="1">
      <c r="A21" s="813" t="s">
        <v>384</v>
      </c>
      <c r="B21" s="813"/>
      <c r="C21" s="813"/>
      <c r="D21" s="813"/>
      <c r="E21" s="813"/>
      <c r="F21" s="483"/>
      <c r="G21" s="813" t="s">
        <v>384</v>
      </c>
      <c r="H21" s="813"/>
      <c r="I21" s="813"/>
      <c r="J21" s="813"/>
    </row>
    <row r="22" spans="1:10" ht="16.5">
      <c r="A22" s="801" t="s">
        <v>43</v>
      </c>
      <c r="B22" s="801"/>
      <c r="C22" s="801"/>
      <c r="D22" s="801"/>
      <c r="E22" s="801"/>
      <c r="F22" s="485"/>
      <c r="G22" s="801" t="s">
        <v>12</v>
      </c>
      <c r="H22" s="801"/>
      <c r="I22" s="801"/>
      <c r="J22" s="801"/>
    </row>
    <row r="23" spans="1:10" ht="16.5">
      <c r="A23" s="485"/>
      <c r="B23" s="489"/>
      <c r="C23" s="485"/>
      <c r="D23" s="485"/>
      <c r="E23" s="485"/>
      <c r="F23" s="485"/>
      <c r="G23" s="801" t="s">
        <v>656</v>
      </c>
      <c r="H23" s="801"/>
      <c r="I23" s="801"/>
      <c r="J23" s="801"/>
    </row>
    <row r="24" spans="1:10" ht="16.5">
      <c r="A24" s="490"/>
      <c r="B24" s="490"/>
      <c r="C24" s="490"/>
      <c r="D24" s="490"/>
      <c r="E24" s="490"/>
      <c r="F24" s="490"/>
      <c r="G24" s="490"/>
      <c r="H24" s="490"/>
      <c r="I24" s="490"/>
      <c r="J24" s="490"/>
    </row>
    <row r="25" spans="1:10" ht="16.5">
      <c r="A25" s="485"/>
      <c r="B25" s="489"/>
      <c r="C25" s="485"/>
      <c r="D25" s="485"/>
      <c r="E25" s="485"/>
      <c r="F25" s="485"/>
      <c r="G25" s="485"/>
      <c r="H25" s="485"/>
      <c r="I25" s="485"/>
      <c r="J25" s="485"/>
    </row>
    <row r="26" spans="1:10" ht="16.5">
      <c r="A26" s="485"/>
      <c r="B26" s="489"/>
      <c r="C26" s="485"/>
      <c r="D26" s="485"/>
      <c r="E26" s="485"/>
      <c r="F26" s="485"/>
      <c r="G26" s="485"/>
      <c r="H26" s="485"/>
      <c r="I26" s="485"/>
      <c r="J26" s="485"/>
    </row>
    <row r="27" spans="1:10" ht="16.5">
      <c r="A27" s="801" t="s">
        <v>390</v>
      </c>
      <c r="B27" s="801"/>
      <c r="C27" s="801"/>
      <c r="D27" s="801"/>
      <c r="E27" s="801"/>
      <c r="F27" s="484"/>
      <c r="G27" s="801" t="s">
        <v>2</v>
      </c>
      <c r="H27" s="801"/>
      <c r="I27" s="801"/>
      <c r="J27" s="801"/>
    </row>
    <row r="28" spans="1:10" ht="15.75">
      <c r="A28" s="468"/>
      <c r="B28" s="467"/>
      <c r="C28" s="468"/>
      <c r="D28" s="468"/>
      <c r="E28" s="468"/>
      <c r="F28" s="468"/>
      <c r="G28" s="468"/>
      <c r="H28" s="468"/>
      <c r="I28" s="468"/>
      <c r="J28" s="468"/>
    </row>
    <row r="29" spans="1:10" ht="25.5" customHeight="1">
      <c r="A29" s="814" t="s">
        <v>710</v>
      </c>
      <c r="B29" s="814"/>
      <c r="C29" s="814"/>
      <c r="D29" s="814"/>
      <c r="E29" s="814"/>
      <c r="F29" s="814"/>
      <c r="G29" s="814"/>
      <c r="H29" s="814"/>
      <c r="I29" s="814"/>
      <c r="J29" s="814"/>
    </row>
  </sheetData>
  <sheetProtection/>
  <mergeCells count="20">
    <mergeCell ref="A27:E27"/>
    <mergeCell ref="G27:J27"/>
    <mergeCell ref="A29:J29"/>
    <mergeCell ref="G23:J23"/>
    <mergeCell ref="H6:J6"/>
    <mergeCell ref="A9:B9"/>
    <mergeCell ref="A21:E21"/>
    <mergeCell ref="G21:J21"/>
    <mergeCell ref="D6:D7"/>
    <mergeCell ref="E6:G6"/>
    <mergeCell ref="A22:E22"/>
    <mergeCell ref="G22:J22"/>
    <mergeCell ref="A1:C1"/>
    <mergeCell ref="H1:J1"/>
    <mergeCell ref="A2:C2"/>
    <mergeCell ref="H2:J2"/>
    <mergeCell ref="A4:J4"/>
    <mergeCell ref="A6:A8"/>
    <mergeCell ref="B6:B8"/>
    <mergeCell ref="C6:C7"/>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63"/>
  </sheetPr>
  <dimension ref="A1:M44"/>
  <sheetViews>
    <sheetView zoomScalePageLayoutView="0" workbookViewId="0" topLeftCell="A1">
      <selection activeCell="H16" sqref="H16"/>
    </sheetView>
  </sheetViews>
  <sheetFormatPr defaultColWidth="9.00390625" defaultRowHeight="15.75"/>
  <cols>
    <col min="1" max="1" width="4.875" style="79" customWidth="1"/>
    <col min="2" max="2" width="31.375" style="79" customWidth="1"/>
    <col min="3" max="3" width="15.00390625" style="79" customWidth="1"/>
    <col min="4" max="4" width="13.625" style="79" customWidth="1"/>
    <col min="5" max="5" width="11.625" style="79" customWidth="1"/>
    <col min="6" max="6" width="12.75390625" style="79" customWidth="1"/>
    <col min="7" max="7" width="13.625" style="79" customWidth="1"/>
    <col min="8" max="8" width="13.75390625" style="79" customWidth="1"/>
    <col min="9" max="9" width="13.625" style="79" customWidth="1"/>
    <col min="10" max="11" width="11.375" style="79" customWidth="1"/>
    <col min="12" max="16384" width="9.00390625" style="79" customWidth="1"/>
  </cols>
  <sheetData>
    <row r="1" spans="1:9" ht="16.5">
      <c r="A1" s="996" t="s">
        <v>139</v>
      </c>
      <c r="B1" s="1168"/>
      <c r="C1" s="987" t="s">
        <v>304</v>
      </c>
      <c r="D1" s="987"/>
      <c r="E1" s="987"/>
      <c r="F1" s="987"/>
      <c r="G1" s="987"/>
      <c r="H1" s="996" t="s">
        <v>381</v>
      </c>
      <c r="I1" s="996"/>
    </row>
    <row r="2" spans="1:9" ht="16.5" customHeight="1">
      <c r="A2" s="1081" t="s">
        <v>367</v>
      </c>
      <c r="B2" s="1081"/>
      <c r="C2" s="987" t="s">
        <v>145</v>
      </c>
      <c r="D2" s="987"/>
      <c r="E2" s="987"/>
      <c r="F2" s="987"/>
      <c r="G2" s="987"/>
      <c r="H2" s="1172" t="s">
        <v>388</v>
      </c>
      <c r="I2" s="1172"/>
    </row>
    <row r="3" spans="1:9" ht="16.5" customHeight="1">
      <c r="A3" s="1081" t="s">
        <v>368</v>
      </c>
      <c r="B3" s="1081"/>
      <c r="C3" s="997" t="s">
        <v>4</v>
      </c>
      <c r="D3" s="997"/>
      <c r="E3" s="997"/>
      <c r="F3" s="997"/>
      <c r="G3" s="997"/>
      <c r="H3" s="1081" t="s">
        <v>382</v>
      </c>
      <c r="I3" s="1081"/>
    </row>
    <row r="4" spans="1:9" ht="14.25" customHeight="1">
      <c r="A4" s="1081" t="s">
        <v>19</v>
      </c>
      <c r="B4" s="1081"/>
      <c r="C4" s="1106" t="s">
        <v>1</v>
      </c>
      <c r="D4" s="1106"/>
      <c r="E4" s="1106"/>
      <c r="F4" s="1106"/>
      <c r="G4" s="1106"/>
      <c r="H4" s="1172" t="s">
        <v>392</v>
      </c>
      <c r="I4" s="1172"/>
    </row>
    <row r="5" spans="1:9" ht="14.25" customHeight="1">
      <c r="A5" s="80"/>
      <c r="B5" s="80"/>
      <c r="C5" s="80"/>
      <c r="D5" s="80"/>
      <c r="E5" s="80"/>
      <c r="F5" s="80"/>
      <c r="G5" s="80"/>
      <c r="H5" s="1173" t="s">
        <v>20</v>
      </c>
      <c r="I5" s="1173"/>
    </row>
    <row r="6" spans="1:9" ht="13.5" customHeight="1">
      <c r="A6" s="1064" t="s">
        <v>278</v>
      </c>
      <c r="B6" s="1065"/>
      <c r="C6" s="1167" t="s">
        <v>165</v>
      </c>
      <c r="D6" s="1167" t="s">
        <v>183</v>
      </c>
      <c r="E6" s="1167"/>
      <c r="F6" s="1167"/>
      <c r="G6" s="1167"/>
      <c r="H6" s="1167"/>
      <c r="I6" s="1167"/>
    </row>
    <row r="7" spans="1:9" ht="15" customHeight="1">
      <c r="A7" s="1066"/>
      <c r="B7" s="1067"/>
      <c r="C7" s="1167"/>
      <c r="D7" s="1064" t="s">
        <v>189</v>
      </c>
      <c r="E7" s="1166"/>
      <c r="F7" s="1166"/>
      <c r="G7" s="1065"/>
      <c r="H7" s="1169" t="s">
        <v>360</v>
      </c>
      <c r="I7" s="1167" t="s">
        <v>320</v>
      </c>
    </row>
    <row r="8" spans="1:9" ht="15" customHeight="1">
      <c r="A8" s="1066"/>
      <c r="B8" s="1067"/>
      <c r="C8" s="1167"/>
      <c r="D8" s="1167" t="s">
        <v>146</v>
      </c>
      <c r="E8" s="1071" t="s">
        <v>106</v>
      </c>
      <c r="F8" s="1072"/>
      <c r="G8" s="1073"/>
      <c r="H8" s="1170"/>
      <c r="I8" s="1167"/>
    </row>
    <row r="9" spans="1:9" ht="36.75" customHeight="1">
      <c r="A9" s="1066"/>
      <c r="B9" s="1067"/>
      <c r="C9" s="1167"/>
      <c r="D9" s="1167"/>
      <c r="E9" s="71" t="s">
        <v>317</v>
      </c>
      <c r="F9" s="71" t="s">
        <v>318</v>
      </c>
      <c r="G9" s="383" t="s">
        <v>319</v>
      </c>
      <c r="H9" s="1171"/>
      <c r="I9" s="1167"/>
    </row>
    <row r="10" spans="1:9" ht="10.5" customHeight="1">
      <c r="A10" s="1154"/>
      <c r="B10" s="1155"/>
      <c r="C10" s="439">
        <v>1</v>
      </c>
      <c r="D10" s="440">
        <v>2</v>
      </c>
      <c r="E10" s="441">
        <v>3</v>
      </c>
      <c r="F10" s="440">
        <v>4</v>
      </c>
      <c r="G10" s="441">
        <v>5</v>
      </c>
      <c r="H10" s="440">
        <v>6</v>
      </c>
      <c r="I10" s="441">
        <v>7</v>
      </c>
    </row>
    <row r="11" spans="1:9" s="161" customFormat="1" ht="16.5" customHeight="1">
      <c r="A11" s="143" t="s">
        <v>14</v>
      </c>
      <c r="B11" s="38" t="s">
        <v>54</v>
      </c>
      <c r="C11" s="507">
        <f>C12+C13</f>
        <v>1204519841</v>
      </c>
      <c r="D11" s="507">
        <f aca="true" t="shared" si="0" ref="D11:I11">D12+D13</f>
        <v>33341955</v>
      </c>
      <c r="E11" s="507">
        <f t="shared" si="0"/>
        <v>23455353</v>
      </c>
      <c r="F11" s="507">
        <f t="shared" si="0"/>
        <v>3724994</v>
      </c>
      <c r="G11" s="507">
        <f t="shared" si="0"/>
        <v>6161608</v>
      </c>
      <c r="H11" s="507">
        <f t="shared" si="0"/>
        <v>1169643971</v>
      </c>
      <c r="I11" s="507">
        <f t="shared" si="0"/>
        <v>1533915</v>
      </c>
    </row>
    <row r="12" spans="1:9" s="161" customFormat="1" ht="16.5" customHeight="1">
      <c r="A12" s="83">
        <v>1</v>
      </c>
      <c r="B12" s="33" t="s">
        <v>55</v>
      </c>
      <c r="C12" s="507">
        <f>D12+H12+I12</f>
        <v>596468316</v>
      </c>
      <c r="D12" s="508">
        <f>E12+F12+G12</f>
        <v>19142964</v>
      </c>
      <c r="E12" s="617">
        <f>2367185+3630904+1367350+697386+135707+926994+308286+1486869+939278+920491+71408</f>
        <v>12851858</v>
      </c>
      <c r="F12" s="617">
        <f>68200+518093+115805+107039+105000+201223+55769+1387363+46200+0</f>
        <v>2604692</v>
      </c>
      <c r="G12" s="617">
        <f>208254+122306+275573+197360+209519+452545+265117+1118065+475812+361863</f>
        <v>3686414</v>
      </c>
      <c r="H12" s="617">
        <f>97947693+237407094+21030180+23180910+6067001+24903427+4907229+52081311+75880565+31073025+2690206</f>
        <v>577168641</v>
      </c>
      <c r="I12" s="617">
        <f>2600+125468+28643+0</f>
        <v>156711</v>
      </c>
    </row>
    <row r="13" spans="1:9" s="161" customFormat="1" ht="16.5" customHeight="1">
      <c r="A13" s="83">
        <v>2</v>
      </c>
      <c r="B13" s="33" t="s">
        <v>56</v>
      </c>
      <c r="C13" s="507">
        <f>D13+H13+I13</f>
        <v>608051525</v>
      </c>
      <c r="D13" s="508">
        <f>E13+F13+G13</f>
        <v>14198991</v>
      </c>
      <c r="E13" s="618">
        <f>74978+235229+400118+955609+345799+790594+304933+1758652+1030802+3002511+1704270</f>
        <v>10603495</v>
      </c>
      <c r="F13" s="618">
        <f>92000+124119+35600+12652+26320+104150+94495+556466+49500+25000</f>
        <v>1120302</v>
      </c>
      <c r="G13" s="618">
        <f>123664+584436+933677+17815+66040+79421+118740+241620+146579+136785+26417</f>
        <v>2475194</v>
      </c>
      <c r="H13" s="618">
        <f>200861+1294148+11517902+103650320+2286883+25405879+11240103+39323427+61665271+302877368+33013168</f>
        <v>592475330</v>
      </c>
      <c r="I13" s="618">
        <f>179300+208565+964563+24776</f>
        <v>1377204</v>
      </c>
    </row>
    <row r="14" spans="1:9" s="161" customFormat="1" ht="16.5" customHeight="1">
      <c r="A14" s="85" t="s">
        <v>15</v>
      </c>
      <c r="B14" s="32" t="s">
        <v>147</v>
      </c>
      <c r="C14" s="507">
        <f>C15+C24</f>
        <v>1204519841</v>
      </c>
      <c r="D14" s="507">
        <f aca="true" t="shared" si="1" ref="D14:I14">D15+D24</f>
        <v>33341955</v>
      </c>
      <c r="E14" s="507">
        <f t="shared" si="1"/>
        <v>23455353</v>
      </c>
      <c r="F14" s="507">
        <f t="shared" si="1"/>
        <v>3724994</v>
      </c>
      <c r="G14" s="507">
        <f t="shared" si="1"/>
        <v>6161608</v>
      </c>
      <c r="H14" s="507">
        <f t="shared" si="1"/>
        <v>1169643971</v>
      </c>
      <c r="I14" s="507">
        <f t="shared" si="1"/>
        <v>1533915</v>
      </c>
    </row>
    <row r="15" spans="1:9" s="161" customFormat="1" ht="16.5" customHeight="1">
      <c r="A15" s="85">
        <v>1</v>
      </c>
      <c r="B15" s="34" t="s">
        <v>57</v>
      </c>
      <c r="C15" s="507">
        <f>C16+C17+C18+C19+C20+C21+C22+C23</f>
        <v>740116677</v>
      </c>
      <c r="D15" s="507">
        <f aca="true" t="shared" si="2" ref="D15:I15">D16+D17+D18+D19+D20+D21+D22+D23</f>
        <v>20343603</v>
      </c>
      <c r="E15" s="507">
        <f t="shared" si="2"/>
        <v>15822889</v>
      </c>
      <c r="F15" s="507">
        <f t="shared" si="2"/>
        <v>1685498</v>
      </c>
      <c r="G15" s="507">
        <f t="shared" si="2"/>
        <v>2835216</v>
      </c>
      <c r="H15" s="507">
        <f t="shared" si="2"/>
        <v>718239159</v>
      </c>
      <c r="I15" s="507">
        <f t="shared" si="2"/>
        <v>1533915</v>
      </c>
    </row>
    <row r="16" spans="1:9" s="161" customFormat="1" ht="16.5" customHeight="1">
      <c r="A16" s="83">
        <v>1.1</v>
      </c>
      <c r="B16" s="35" t="s">
        <v>58</v>
      </c>
      <c r="C16" s="507">
        <f>D16+H16+I16</f>
        <v>120241478</v>
      </c>
      <c r="D16" s="509">
        <f>E16+F16+G16</f>
        <v>8435428</v>
      </c>
      <c r="E16" s="619">
        <f>979756+1739951+523021+1342173+189267+527727+239332+537506+227292+204852+60293-3</f>
        <v>6571167</v>
      </c>
      <c r="F16" s="619">
        <f>25000+29900+60545+56345+78140+18000+15590+28895+51650+54200</f>
        <v>418265</v>
      </c>
      <c r="G16" s="619">
        <f>51833+196125+188635+129213+97212+61844+47600+11040+225691+404399+32404</f>
        <v>1445996</v>
      </c>
      <c r="H16" s="619">
        <f>29873969+32930443+3309569+7216967+3294166+9971688+1636119+15351195+5370925+805711+401341+200000</f>
        <v>110362093</v>
      </c>
      <c r="I16" s="619">
        <f>19777+963068+206163+254949</f>
        <v>1443957</v>
      </c>
    </row>
    <row r="17" spans="1:9" s="161" customFormat="1" ht="16.5" customHeight="1">
      <c r="A17" s="83">
        <v>1.2</v>
      </c>
      <c r="B17" s="33" t="s">
        <v>96</v>
      </c>
      <c r="C17" s="507">
        <f aca="true" t="shared" si="3" ref="C17:C23">D17+H17+I17</f>
        <v>45721288</v>
      </c>
      <c r="D17" s="509">
        <f aca="true" t="shared" si="4" ref="D17:D23">E17+F17+G17</f>
        <v>349526</v>
      </c>
      <c r="E17" s="618">
        <f>1841+86663+2455+88467+117631+49689</f>
        <v>346746</v>
      </c>
      <c r="F17" s="618">
        <v>400</v>
      </c>
      <c r="G17" s="618">
        <f>2380+0</f>
        <v>2380</v>
      </c>
      <c r="H17" s="618">
        <f>1300+89145+3873207+5874113+276078+1724484+136378+7925655+1321421+20265453+3884528</f>
        <v>45371762</v>
      </c>
      <c r="I17" s="618">
        <v>0</v>
      </c>
    </row>
    <row r="18" spans="1:9" s="161" customFormat="1" ht="16.5" customHeight="1">
      <c r="A18" s="83">
        <v>1.3</v>
      </c>
      <c r="B18" s="35" t="s">
        <v>60</v>
      </c>
      <c r="C18" s="507">
        <f t="shared" si="3"/>
        <v>4525876</v>
      </c>
      <c r="D18" s="509">
        <f t="shared" si="4"/>
        <v>412991</v>
      </c>
      <c r="E18" s="618">
        <f>24271+70804+3400+43164+2400+83957+6694+6941+49054+1450+0+50848+3</f>
        <v>342986</v>
      </c>
      <c r="F18" s="618">
        <f>400+34200</f>
        <v>34600</v>
      </c>
      <c r="G18" s="618">
        <f>10760+2650+5395+1400+3780+11420+0</f>
        <v>35405</v>
      </c>
      <c r="H18" s="618">
        <f>929421+65044+627462+53780+46530+156000+0+2231648</f>
        <v>4109885</v>
      </c>
      <c r="I18" s="618">
        <v>3000</v>
      </c>
    </row>
    <row r="19" spans="1:9" s="161" customFormat="1" ht="16.5" customHeight="1">
      <c r="A19" s="83">
        <v>1.4</v>
      </c>
      <c r="B19" s="35" t="s">
        <v>62</v>
      </c>
      <c r="C19" s="507">
        <f t="shared" si="3"/>
        <v>0</v>
      </c>
      <c r="D19" s="509">
        <f t="shared" si="4"/>
        <v>0</v>
      </c>
      <c r="E19" s="618">
        <v>0</v>
      </c>
      <c r="F19" s="618">
        <v>0</v>
      </c>
      <c r="G19" s="618">
        <v>0</v>
      </c>
      <c r="H19" s="618">
        <v>0</v>
      </c>
      <c r="I19" s="618">
        <v>0</v>
      </c>
    </row>
    <row r="20" spans="1:9" s="161" customFormat="1" ht="16.5" customHeight="1">
      <c r="A20" s="83">
        <v>1.5</v>
      </c>
      <c r="B20" s="35" t="s">
        <v>61</v>
      </c>
      <c r="C20" s="507">
        <f t="shared" si="3"/>
        <v>21388</v>
      </c>
      <c r="D20" s="509">
        <f t="shared" si="4"/>
        <v>21388</v>
      </c>
      <c r="E20" s="618">
        <f>436+7964+0</f>
        <v>8400</v>
      </c>
      <c r="F20" s="618">
        <v>0</v>
      </c>
      <c r="G20" s="618">
        <f>500+9938+2550+0</f>
        <v>12988</v>
      </c>
      <c r="H20" s="618">
        <v>0</v>
      </c>
      <c r="I20" s="618">
        <v>0</v>
      </c>
    </row>
    <row r="21" spans="1:9" s="161" customFormat="1" ht="16.5" customHeight="1">
      <c r="A21" s="83">
        <v>1.6</v>
      </c>
      <c r="B21" s="35" t="s">
        <v>86</v>
      </c>
      <c r="C21" s="507">
        <f t="shared" si="3"/>
        <v>44779391</v>
      </c>
      <c r="D21" s="509">
        <f t="shared" si="4"/>
        <v>0</v>
      </c>
      <c r="E21" s="618">
        <v>0</v>
      </c>
      <c r="F21" s="618">
        <v>0</v>
      </c>
      <c r="G21" s="618">
        <v>0</v>
      </c>
      <c r="H21" s="618">
        <f>541605+469522+743574+216639+1914382+11593664+3824908+7761610+3682604+7071552+7159331-200000</f>
        <v>44779391</v>
      </c>
      <c r="I21" s="618">
        <v>0</v>
      </c>
    </row>
    <row r="22" spans="1:9" s="161" customFormat="1" ht="16.5" customHeight="1">
      <c r="A22" s="83">
        <v>1.7</v>
      </c>
      <c r="B22" s="33" t="s">
        <v>63</v>
      </c>
      <c r="C22" s="507">
        <f t="shared" si="3"/>
        <v>458452800</v>
      </c>
      <c r="D22" s="509">
        <f t="shared" si="4"/>
        <v>9117090</v>
      </c>
      <c r="E22" s="618">
        <f>10445+813540+989557+818638+145104+118060+1154203+1671147+1339984+229513</f>
        <v>7290191</v>
      </c>
      <c r="F22" s="618">
        <f>3800+279783+63426+30369+38150+84236+76919+62600+0</f>
        <v>639283</v>
      </c>
      <c r="G22" s="618">
        <f>5210+122227+8027+58986+1830+1634+348640+346337+294725</f>
        <v>1187616</v>
      </c>
      <c r="H22" s="618">
        <f>13511093+200796464+58112948+18149851+5515641+20672231+1957498+100464611+29698914+369501</f>
        <v>449248752</v>
      </c>
      <c r="I22" s="618">
        <f>1999+30138+5002+49819</f>
        <v>86958</v>
      </c>
    </row>
    <row r="23" spans="1:9" s="161" customFormat="1" ht="16.5" customHeight="1">
      <c r="A23" s="83">
        <v>1.8</v>
      </c>
      <c r="B23" s="35" t="s">
        <v>64</v>
      </c>
      <c r="C23" s="507">
        <f t="shared" si="3"/>
        <v>66374456</v>
      </c>
      <c r="D23" s="509">
        <f t="shared" si="4"/>
        <v>2007180</v>
      </c>
      <c r="E23" s="618">
        <f>294031+396739+572629+0</f>
        <v>1263399</v>
      </c>
      <c r="F23" s="618">
        <f>551943+7508+33499+0</f>
        <v>592950</v>
      </c>
      <c r="G23" s="618">
        <f>34300+18444+98087+0</f>
        <v>150831</v>
      </c>
      <c r="H23" s="618">
        <f>45968437+11158627+7240212+0</f>
        <v>64367276</v>
      </c>
      <c r="I23" s="618">
        <v>0</v>
      </c>
    </row>
    <row r="24" spans="1:9" s="161" customFormat="1" ht="16.5" customHeight="1">
      <c r="A24" s="85">
        <v>2</v>
      </c>
      <c r="B24" s="32" t="s">
        <v>65</v>
      </c>
      <c r="C24" s="507">
        <f>C25+C26+C27</f>
        <v>464403164</v>
      </c>
      <c r="D24" s="507">
        <f aca="true" t="shared" si="5" ref="D24:I24">D25+D26+D27</f>
        <v>12998352</v>
      </c>
      <c r="E24" s="507">
        <f t="shared" si="5"/>
        <v>7632464</v>
      </c>
      <c r="F24" s="507">
        <f t="shared" si="5"/>
        <v>2039496</v>
      </c>
      <c r="G24" s="507">
        <f t="shared" si="5"/>
        <v>3326392</v>
      </c>
      <c r="H24" s="507">
        <f t="shared" si="5"/>
        <v>451404812</v>
      </c>
      <c r="I24" s="507">
        <f t="shared" si="5"/>
        <v>0</v>
      </c>
    </row>
    <row r="25" spans="1:9" s="161" customFormat="1" ht="16.5" customHeight="1">
      <c r="A25" s="83">
        <v>2.1</v>
      </c>
      <c r="B25" s="33" t="s">
        <v>66</v>
      </c>
      <c r="C25" s="507">
        <f>D25+H25+I25</f>
        <v>40814117</v>
      </c>
      <c r="D25" s="507">
        <f>E25+F25+G25</f>
        <v>8517410</v>
      </c>
      <c r="E25" s="618">
        <f>53725+177736+420336+111724+237750+101885+317571+355434+760695+728023+0-138667+193416</f>
        <v>3319628</v>
      </c>
      <c r="F25" s="618">
        <f>68000+235360+59084+66224+75170+114697+9000+1331341+0+3000</f>
        <v>1961876</v>
      </c>
      <c r="G25" s="618">
        <f>84952+77204+132579+10000+149334+336649+439242+620683+888276+271847+225140</f>
        <v>3235906</v>
      </c>
      <c r="H25" s="618">
        <f>10696212+11581403+311419+2998024+3767862+1503381+199699+1109881+90826+38000</f>
        <v>32296707</v>
      </c>
      <c r="I25" s="618">
        <v>0</v>
      </c>
    </row>
    <row r="26" spans="1:9" s="161" customFormat="1" ht="16.5" customHeight="1">
      <c r="A26" s="83">
        <v>2.2</v>
      </c>
      <c r="B26" s="33" t="s">
        <v>97</v>
      </c>
      <c r="C26" s="507">
        <f>D26+H26+I26</f>
        <v>5915584</v>
      </c>
      <c r="D26" s="507">
        <f>E26+F26+G26</f>
        <v>344522</v>
      </c>
      <c r="E26" s="620">
        <f>5452+325650+13420+0</f>
        <v>344522</v>
      </c>
      <c r="F26" s="620">
        <v>0</v>
      </c>
      <c r="G26" s="620">
        <v>0</v>
      </c>
      <c r="H26" s="620">
        <f>2937212+2633850+0</f>
        <v>5571062</v>
      </c>
      <c r="I26" s="620">
        <v>0</v>
      </c>
    </row>
    <row r="27" spans="1:9" s="161" customFormat="1" ht="16.5" customHeight="1">
      <c r="A27" s="83">
        <v>2.3</v>
      </c>
      <c r="B27" s="35" t="s">
        <v>68</v>
      </c>
      <c r="C27" s="507">
        <f>D27+H27+I27</f>
        <v>417673463</v>
      </c>
      <c r="D27" s="507">
        <f>E27+F27+G27</f>
        <v>4136420</v>
      </c>
      <c r="E27" s="618">
        <f>21923+222825+488138+101022+47062+1884+136444+362094+1645542+941380</f>
        <v>3968314</v>
      </c>
      <c r="F27" s="618">
        <f>8000+28300+41320+0</f>
        <v>77620</v>
      </c>
      <c r="G27" s="618">
        <f>5451+900+158892+10294+0-85051</f>
        <v>90486</v>
      </c>
      <c r="H27" s="618">
        <f>1486494+1109881+31395794+33571594+1410035+2527159+48671+6666141+15957490+257700041+61969095-1024830+757478-38000</f>
        <v>413537043</v>
      </c>
      <c r="I27" s="618">
        <v>0</v>
      </c>
    </row>
    <row r="28" spans="1:12" s="162" customFormat="1" ht="27" customHeight="1">
      <c r="A28" s="40" t="s">
        <v>110</v>
      </c>
      <c r="B28" s="41" t="s">
        <v>303</v>
      </c>
      <c r="C28" s="406">
        <f>(C16+C17+C18+C19+C20+C21)*100/C15</f>
        <v>29.088578556648304</v>
      </c>
      <c r="D28" s="406">
        <f aca="true" t="shared" si="6" ref="D28:I28">(D16+D17+D18+D19+D20+D21)*100/D15</f>
        <v>45.31809335838888</v>
      </c>
      <c r="E28" s="406">
        <f t="shared" si="6"/>
        <v>45.941667163310065</v>
      </c>
      <c r="F28" s="406">
        <f t="shared" si="6"/>
        <v>26.892052081936615</v>
      </c>
      <c r="G28" s="406">
        <f t="shared" si="6"/>
        <v>52.79206240371104</v>
      </c>
      <c r="H28" s="406">
        <f t="shared" si="6"/>
        <v>28.489553714238518</v>
      </c>
      <c r="I28" s="406">
        <f t="shared" si="6"/>
        <v>94.33097661865227</v>
      </c>
      <c r="J28" s="42"/>
      <c r="K28" s="42"/>
      <c r="L28" s="42"/>
    </row>
    <row r="29" spans="1:9" s="76" customFormat="1" ht="15" customHeight="1">
      <c r="A29" s="82"/>
      <c r="B29" s="985" t="s">
        <v>3</v>
      </c>
      <c r="C29" s="985"/>
      <c r="D29" s="163"/>
      <c r="E29" s="150"/>
      <c r="F29" s="994" t="s">
        <v>5</v>
      </c>
      <c r="G29" s="995"/>
      <c r="H29" s="995"/>
      <c r="I29" s="995"/>
    </row>
    <row r="30" spans="1:9" s="76" customFormat="1" ht="16.5">
      <c r="A30" s="82"/>
      <c r="B30" s="987" t="s">
        <v>43</v>
      </c>
      <c r="C30" s="987"/>
      <c r="D30" s="163"/>
      <c r="E30" s="150"/>
      <c r="F30" s="995"/>
      <c r="G30" s="995"/>
      <c r="H30" s="995"/>
      <c r="I30" s="995"/>
    </row>
    <row r="31" spans="1:13" s="102" customFormat="1" ht="17.25" customHeight="1">
      <c r="A31" s="164"/>
      <c r="B31" s="984"/>
      <c r="C31" s="984"/>
      <c r="D31" s="120"/>
      <c r="E31" s="150"/>
      <c r="F31" s="987" t="s">
        <v>656</v>
      </c>
      <c r="G31" s="987"/>
      <c r="H31" s="987"/>
      <c r="I31" s="987"/>
      <c r="J31" s="103"/>
      <c r="K31" s="103"/>
      <c r="L31" s="103"/>
      <c r="M31" s="103"/>
    </row>
    <row r="32" spans="1:2" s="76" customFormat="1" ht="16.5">
      <c r="A32" s="82"/>
      <c r="B32" s="73"/>
    </row>
    <row r="33" spans="1:10" ht="20.25" customHeight="1" hidden="1">
      <c r="A33" s="27" t="s">
        <v>203</v>
      </c>
      <c r="B33" s="165"/>
      <c r="C33" s="161"/>
      <c r="D33" s="161"/>
      <c r="E33" s="161"/>
      <c r="F33" s="161"/>
      <c r="G33" s="161"/>
      <c r="H33" s="161"/>
      <c r="I33" s="161"/>
      <c r="J33" s="161"/>
    </row>
    <row r="34" spans="1:10" ht="15" customHeight="1" hidden="1">
      <c r="A34" s="166"/>
      <c r="B34" s="1164" t="s">
        <v>204</v>
      </c>
      <c r="C34" s="1164"/>
      <c r="D34" s="1164"/>
      <c r="E34" s="1164"/>
      <c r="F34" s="1164"/>
      <c r="G34" s="1164"/>
      <c r="H34" s="161"/>
      <c r="I34" s="161"/>
      <c r="J34" s="161"/>
    </row>
    <row r="35" spans="1:7" ht="15" customHeight="1" hidden="1">
      <c r="A35" s="122"/>
      <c r="B35" s="1165" t="s">
        <v>246</v>
      </c>
      <c r="C35" s="1165"/>
      <c r="D35" s="1165"/>
      <c r="E35" s="1165"/>
      <c r="F35" s="1165"/>
      <c r="G35" s="1165"/>
    </row>
    <row r="36" ht="15" hidden="1">
      <c r="B36" s="166" t="s">
        <v>245</v>
      </c>
    </row>
    <row r="37" ht="15" hidden="1">
      <c r="B37" s="166" t="s">
        <v>244</v>
      </c>
    </row>
    <row r="40" spans="2:9" ht="15.75">
      <c r="B40" s="1163" t="s">
        <v>390</v>
      </c>
      <c r="C40" s="1163"/>
      <c r="F40" s="1163" t="s">
        <v>2</v>
      </c>
      <c r="G40" s="1163"/>
      <c r="H40" s="1163"/>
      <c r="I40" s="1163"/>
    </row>
    <row r="44" spans="3:9" ht="15">
      <c r="C44" s="418">
        <f aca="true" t="shared" si="7" ref="C44:I44">C24+C15-C11</f>
        <v>0</v>
      </c>
      <c r="D44" s="418">
        <f t="shared" si="7"/>
        <v>0</v>
      </c>
      <c r="E44" s="418">
        <f t="shared" si="7"/>
        <v>0</v>
      </c>
      <c r="F44" s="418">
        <f t="shared" si="7"/>
        <v>0</v>
      </c>
      <c r="G44" s="418">
        <f t="shared" si="7"/>
        <v>0</v>
      </c>
      <c r="H44" s="418">
        <f t="shared" si="7"/>
        <v>0</v>
      </c>
      <c r="I44" s="418">
        <f t="shared" si="7"/>
        <v>0</v>
      </c>
    </row>
  </sheetData>
  <sheetProtection/>
  <mergeCells count="30">
    <mergeCell ref="H2:I2"/>
    <mergeCell ref="H1:I1"/>
    <mergeCell ref="H5:I5"/>
    <mergeCell ref="H3:I3"/>
    <mergeCell ref="H4:I4"/>
    <mergeCell ref="B30:C30"/>
    <mergeCell ref="F29:I30"/>
    <mergeCell ref="I7:I9"/>
    <mergeCell ref="C6:C9"/>
    <mergeCell ref="H7:H9"/>
    <mergeCell ref="E8:G8"/>
    <mergeCell ref="A6:B10"/>
    <mergeCell ref="B29:C29"/>
    <mergeCell ref="D6:I6"/>
    <mergeCell ref="A3:B3"/>
    <mergeCell ref="A1:B1"/>
    <mergeCell ref="A2:B2"/>
    <mergeCell ref="C1:G1"/>
    <mergeCell ref="C2:G2"/>
    <mergeCell ref="C3:G3"/>
    <mergeCell ref="C4:G4"/>
    <mergeCell ref="A4:B4"/>
    <mergeCell ref="D7:G7"/>
    <mergeCell ref="D8:D9"/>
    <mergeCell ref="F40:I40"/>
    <mergeCell ref="B40:C40"/>
    <mergeCell ref="F31:I31"/>
    <mergeCell ref="B31:C31"/>
    <mergeCell ref="B34:G34"/>
    <mergeCell ref="B35:G35"/>
  </mergeCells>
  <printOptions/>
  <pageMargins left="0.5" right="0.25" top="0.2" bottom="0" header="0.2" footer="0.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48"/>
  </sheetPr>
  <dimension ref="A1:F39"/>
  <sheetViews>
    <sheetView zoomScale="90" zoomScaleNormal="90" zoomScalePageLayoutView="0" workbookViewId="0" topLeftCell="A7">
      <selection activeCell="C21" sqref="C21"/>
    </sheetView>
  </sheetViews>
  <sheetFormatPr defaultColWidth="9.00390625" defaultRowHeight="15.75"/>
  <cols>
    <col min="1" max="1" width="7.375" style="76" customWidth="1"/>
    <col min="2" max="2" width="54.125" style="76" customWidth="1"/>
    <col min="3" max="3" width="33.00390625" style="76" customWidth="1"/>
    <col min="4" max="4" width="34.625" style="76" customWidth="1"/>
    <col min="5" max="5" width="21.25390625" style="76" customWidth="1"/>
    <col min="6" max="16384" width="9.00390625" style="76" customWidth="1"/>
  </cols>
  <sheetData>
    <row r="1" spans="1:4" ht="37.5" customHeight="1">
      <c r="A1" s="997" t="s">
        <v>316</v>
      </c>
      <c r="B1" s="987"/>
      <c r="C1" s="987"/>
      <c r="D1" s="987"/>
    </row>
    <row r="2" spans="1:4" ht="15.75">
      <c r="A2" s="1178" t="s">
        <v>274</v>
      </c>
      <c r="B2" s="1179"/>
      <c r="C2" s="96" t="s">
        <v>17</v>
      </c>
      <c r="D2" s="96" t="s">
        <v>18</v>
      </c>
    </row>
    <row r="3" spans="1:4" ht="10.5" customHeight="1">
      <c r="A3" s="1176" t="s">
        <v>105</v>
      </c>
      <c r="B3" s="1177"/>
      <c r="C3" s="413">
        <v>1</v>
      </c>
      <c r="D3" s="413">
        <v>2</v>
      </c>
    </row>
    <row r="4" spans="1:5" ht="15.75" customHeight="1">
      <c r="A4" s="512">
        <v>1</v>
      </c>
      <c r="B4" s="510" t="s">
        <v>70</v>
      </c>
      <c r="C4" s="511">
        <f>'Về tiền theo đơn Mau 04.THA'!C24</f>
        <v>32296707</v>
      </c>
      <c r="D4" s="84"/>
      <c r="E4" s="398">
        <f>C9+C8+C7+C6+C5-C4</f>
        <v>0</v>
      </c>
    </row>
    <row r="5" spans="1:4" s="169" customFormat="1" ht="16.5" customHeight="1">
      <c r="A5" s="83">
        <v>1.2</v>
      </c>
      <c r="B5" s="167" t="s">
        <v>71</v>
      </c>
      <c r="C5" s="416">
        <v>0</v>
      </c>
      <c r="D5" s="168"/>
    </row>
    <row r="6" spans="1:4" s="169" customFormat="1" ht="16.5" customHeight="1">
      <c r="A6" s="83">
        <v>1.3</v>
      </c>
      <c r="B6" s="167" t="s">
        <v>87</v>
      </c>
      <c r="C6" s="588">
        <f>10696212+11581403+311419+2998024+3629978+1053381+1109881+119278+90826+37990</f>
        <v>31628392</v>
      </c>
      <c r="D6" s="168"/>
    </row>
    <row r="7" spans="1:4" s="169" customFormat="1" ht="16.5" customHeight="1">
      <c r="A7" s="83">
        <v>1.4</v>
      </c>
      <c r="B7" s="167" t="s">
        <v>73</v>
      </c>
      <c r="C7" s="588">
        <v>668315</v>
      </c>
      <c r="D7" s="168"/>
    </row>
    <row r="8" spans="1:4" s="169" customFormat="1" ht="16.5" customHeight="1">
      <c r="A8" s="83">
        <v>1.5</v>
      </c>
      <c r="B8" s="167" t="s">
        <v>74</v>
      </c>
      <c r="C8" s="416">
        <v>0</v>
      </c>
      <c r="D8" s="168"/>
    </row>
    <row r="9" spans="1:4" s="169" customFormat="1" ht="15.75" customHeight="1">
      <c r="A9" s="83">
        <v>1.6</v>
      </c>
      <c r="B9" s="167" t="s">
        <v>75</v>
      </c>
      <c r="C9" s="416">
        <v>0</v>
      </c>
      <c r="D9" s="168"/>
    </row>
    <row r="10" spans="1:5" ht="17.25" customHeight="1">
      <c r="A10" s="512">
        <v>2</v>
      </c>
      <c r="B10" s="510" t="s">
        <v>67</v>
      </c>
      <c r="C10" s="511">
        <f>'Về tiền theo đơn Mau 04.THA'!C25</f>
        <v>5571062</v>
      </c>
      <c r="D10" s="84"/>
      <c r="E10" s="398">
        <f>C12+C11-C10</f>
        <v>0</v>
      </c>
    </row>
    <row r="11" spans="1:4" s="169" customFormat="1" ht="16.5" customHeight="1">
      <c r="A11" s="83">
        <v>2.1</v>
      </c>
      <c r="B11" s="167" t="s">
        <v>88</v>
      </c>
      <c r="C11" s="416">
        <v>5571062</v>
      </c>
      <c r="D11" s="168"/>
    </row>
    <row r="12" spans="1:4" s="169" customFormat="1" ht="14.25" customHeight="1">
      <c r="A12" s="83">
        <v>2.2</v>
      </c>
      <c r="B12" s="167" t="s">
        <v>89</v>
      </c>
      <c r="C12" s="416">
        <v>0</v>
      </c>
      <c r="D12" s="168"/>
    </row>
    <row r="13" spans="1:5" ht="18" customHeight="1">
      <c r="A13" s="512">
        <v>3</v>
      </c>
      <c r="B13" s="510" t="s">
        <v>59</v>
      </c>
      <c r="C13" s="511">
        <f>'Về tiền theo đơn Mau 04.THA'!C18</f>
        <v>44513784</v>
      </c>
      <c r="D13" s="84"/>
      <c r="E13" s="398">
        <f>C19+C18+C17+C16+C15+C14-C13</f>
        <v>0</v>
      </c>
    </row>
    <row r="14" spans="1:4" s="169" customFormat="1" ht="17.25" customHeight="1">
      <c r="A14" s="83">
        <v>3.1</v>
      </c>
      <c r="B14" s="167" t="s">
        <v>78</v>
      </c>
      <c r="C14" s="416">
        <v>0</v>
      </c>
      <c r="D14" s="168"/>
    </row>
    <row r="15" spans="1:4" s="169" customFormat="1" ht="16.5" customHeight="1">
      <c r="A15" s="83">
        <v>3.2</v>
      </c>
      <c r="B15" s="167" t="s">
        <v>90</v>
      </c>
      <c r="C15" s="588">
        <v>500</v>
      </c>
      <c r="D15" s="168"/>
    </row>
    <row r="16" spans="1:4" s="169" customFormat="1" ht="15.75" customHeight="1">
      <c r="A16" s="83">
        <v>3.3</v>
      </c>
      <c r="B16" s="167" t="s">
        <v>211</v>
      </c>
      <c r="C16" s="588">
        <f>1300+89145+81325+5874113+276078+1186783+897253+1321421+13774452+3026550</f>
        <v>26528420</v>
      </c>
      <c r="D16" s="168"/>
    </row>
    <row r="17" spans="1:4" s="169" customFormat="1" ht="16.5" customHeight="1">
      <c r="A17" s="83">
        <v>3.4</v>
      </c>
      <c r="B17" s="167" t="s">
        <v>79</v>
      </c>
      <c r="C17" s="588">
        <v>17984864</v>
      </c>
      <c r="D17" s="168"/>
    </row>
    <row r="18" spans="1:4" s="169" customFormat="1" ht="15.75" customHeight="1">
      <c r="A18" s="83">
        <v>3.5</v>
      </c>
      <c r="B18" s="167" t="s">
        <v>80</v>
      </c>
      <c r="C18" s="416">
        <v>0</v>
      </c>
      <c r="D18" s="168"/>
    </row>
    <row r="19" spans="1:4" s="169" customFormat="1" ht="15" customHeight="1">
      <c r="A19" s="83">
        <v>3.6</v>
      </c>
      <c r="B19" s="167" t="s">
        <v>82</v>
      </c>
      <c r="C19" s="416">
        <v>0</v>
      </c>
      <c r="D19" s="168"/>
    </row>
    <row r="20" spans="1:5" ht="18" customHeight="1">
      <c r="A20" s="526">
        <v>4</v>
      </c>
      <c r="B20" s="527" t="s">
        <v>86</v>
      </c>
      <c r="C20" s="528">
        <f>'Về tiền theo đơn Mau 04.THA'!C20</f>
        <v>44779391</v>
      </c>
      <c r="D20" s="170"/>
      <c r="E20" s="398">
        <f>C24+C23+C22+C21-C20</f>
        <v>0</v>
      </c>
    </row>
    <row r="21" spans="1:4" s="169" customFormat="1" ht="17.25" customHeight="1">
      <c r="A21" s="83">
        <v>4.1</v>
      </c>
      <c r="B21" s="167" t="s">
        <v>91</v>
      </c>
      <c r="C21" s="588">
        <f>7159331+7071552+3682604+7761610+3824908+11593664+1914382+43574+469522+541605-200000</f>
        <v>43862752</v>
      </c>
      <c r="D21" s="168"/>
    </row>
    <row r="22" spans="1:4" s="169" customFormat="1" ht="17.25" customHeight="1">
      <c r="A22" s="83">
        <v>4.2</v>
      </c>
      <c r="B22" s="167" t="s">
        <v>92</v>
      </c>
      <c r="C22" s="588">
        <v>916639</v>
      </c>
      <c r="D22" s="168"/>
    </row>
    <row r="23" spans="1:4" s="169" customFormat="1" ht="17.25" customHeight="1">
      <c r="A23" s="83">
        <v>4.3</v>
      </c>
      <c r="B23" s="167" t="s">
        <v>93</v>
      </c>
      <c r="C23" s="416">
        <v>0</v>
      </c>
      <c r="D23" s="168"/>
    </row>
    <row r="24" spans="1:4" s="169" customFormat="1" ht="17.25" customHeight="1">
      <c r="A24" s="83">
        <v>4.4</v>
      </c>
      <c r="B24" s="167" t="s">
        <v>94</v>
      </c>
      <c r="C24" s="416">
        <v>0</v>
      </c>
      <c r="D24" s="168"/>
    </row>
    <row r="25" spans="1:5" ht="16.5" customHeight="1">
      <c r="A25" s="512">
        <v>5</v>
      </c>
      <c r="B25" s="510" t="s">
        <v>83</v>
      </c>
      <c r="C25" s="511">
        <f>'Về tiền theo đơn Mau 04.THA'!C26</f>
        <v>412280230</v>
      </c>
      <c r="D25" s="84"/>
      <c r="E25" s="398">
        <f>C28+C27+C26-C25</f>
        <v>0</v>
      </c>
    </row>
    <row r="26" spans="1:4" s="169" customFormat="1" ht="16.5" customHeight="1">
      <c r="A26" s="83">
        <v>5.1</v>
      </c>
      <c r="B26" s="167" t="s">
        <v>95</v>
      </c>
      <c r="C26" s="416">
        <v>0</v>
      </c>
      <c r="D26" s="168"/>
    </row>
    <row r="27" spans="1:4" s="169" customFormat="1" ht="16.5" customHeight="1">
      <c r="A27" s="83">
        <v>5.2</v>
      </c>
      <c r="B27" s="167" t="s">
        <v>85</v>
      </c>
      <c r="C27" s="588">
        <f>1486494+950000+14000+48671+1300825+15957490+20251569+54574488+719478</f>
        <v>95303015</v>
      </c>
      <c r="D27" s="168"/>
    </row>
    <row r="28" spans="1:4" s="169" customFormat="1" ht="15.75" customHeight="1">
      <c r="A28" s="83">
        <v>5.3</v>
      </c>
      <c r="B28" s="171" t="s">
        <v>120</v>
      </c>
      <c r="C28" s="588">
        <v>316977215</v>
      </c>
      <c r="D28" s="168"/>
    </row>
    <row r="29" spans="2:4" ht="17.25" customHeight="1">
      <c r="B29" s="382" t="s">
        <v>384</v>
      </c>
      <c r="C29" s="1174" t="s">
        <v>235</v>
      </c>
      <c r="D29" s="1175"/>
    </row>
    <row r="30" spans="2:4" ht="18" customHeight="1">
      <c r="B30" s="73" t="s">
        <v>43</v>
      </c>
      <c r="C30" s="1068"/>
      <c r="D30" s="1068"/>
    </row>
    <row r="31" spans="1:6" s="102" customFormat="1" ht="18" customHeight="1">
      <c r="A31" s="101"/>
      <c r="B31" s="75"/>
      <c r="C31" s="987" t="s">
        <v>657</v>
      </c>
      <c r="D31" s="987"/>
      <c r="E31" s="103"/>
      <c r="F31" s="103"/>
    </row>
    <row r="32" spans="2:4" ht="18" customHeight="1">
      <c r="B32" s="73"/>
      <c r="C32" s="95"/>
      <c r="D32" s="95"/>
    </row>
    <row r="33" spans="3:4" ht="15.75">
      <c r="C33" s="1180"/>
      <c r="D33" s="1180"/>
    </row>
    <row r="34" spans="1:3" ht="15.75" hidden="1">
      <c r="A34" s="172" t="s">
        <v>188</v>
      </c>
      <c r="B34" s="105"/>
      <c r="C34" s="105"/>
    </row>
    <row r="35" ht="15.75" hidden="1">
      <c r="B35" s="173" t="s">
        <v>206</v>
      </c>
    </row>
    <row r="36" ht="15.75" hidden="1">
      <c r="B36" s="174" t="s">
        <v>242</v>
      </c>
    </row>
    <row r="37" ht="15.75" hidden="1">
      <c r="B37" s="174" t="s">
        <v>243</v>
      </c>
    </row>
    <row r="38" spans="2:4" ht="16.5">
      <c r="B38" s="73" t="s">
        <v>390</v>
      </c>
      <c r="C38" s="987" t="s">
        <v>234</v>
      </c>
      <c r="D38" s="987"/>
    </row>
    <row r="39" ht="15.75">
      <c r="D39" s="107" t="s">
        <v>108</v>
      </c>
    </row>
  </sheetData>
  <sheetProtection/>
  <mergeCells count="7">
    <mergeCell ref="C38:D38"/>
    <mergeCell ref="A1:D1"/>
    <mergeCell ref="C29:D30"/>
    <mergeCell ref="A3:B3"/>
    <mergeCell ref="C31:D31"/>
    <mergeCell ref="A2:B2"/>
    <mergeCell ref="C33:D33"/>
  </mergeCells>
  <printOptions/>
  <pageMargins left="0.56" right="0.25" top="0" bottom="0" header="0.5" footer="0.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tabColor indexed="48"/>
  </sheetPr>
  <dimension ref="A1:Q38"/>
  <sheetViews>
    <sheetView zoomScalePageLayoutView="0" workbookViewId="0" topLeftCell="A4">
      <selection activeCell="D17" sqref="D17"/>
    </sheetView>
  </sheetViews>
  <sheetFormatPr defaultColWidth="9.00390625" defaultRowHeight="15.75"/>
  <cols>
    <col min="1" max="1" width="3.75390625" style="76" customWidth="1"/>
    <col min="2" max="2" width="29.125" style="76" customWidth="1"/>
    <col min="3" max="3" width="11.625" style="76" customWidth="1"/>
    <col min="4" max="4" width="10.375" style="76" customWidth="1"/>
    <col min="5" max="5" width="9.75390625" style="76" customWidth="1"/>
    <col min="6" max="6" width="7.625" style="76" customWidth="1"/>
    <col min="7" max="7" width="9.50390625" style="76" customWidth="1"/>
    <col min="8" max="8" width="8.00390625" style="76" customWidth="1"/>
    <col min="9" max="9" width="9.625" style="76" customWidth="1"/>
    <col min="10" max="10" width="10.25390625" style="76" customWidth="1"/>
    <col min="11" max="11" width="8.875" style="76" customWidth="1"/>
    <col min="12" max="12" width="8.50390625" style="76" customWidth="1"/>
    <col min="13" max="13" width="7.875" style="76" customWidth="1"/>
    <col min="14" max="14" width="13.375" style="76" customWidth="1"/>
    <col min="15" max="15" width="12.50390625" style="76" customWidth="1"/>
    <col min="16" max="16" width="11.50390625" style="76" customWidth="1"/>
    <col min="17" max="17" width="15.75390625" style="76" customWidth="1"/>
    <col min="18" max="18" width="15.375" style="76" customWidth="1"/>
    <col min="19" max="16384" width="9.00390625" style="76" customWidth="1"/>
  </cols>
  <sheetData>
    <row r="1" spans="1:13" ht="16.5" customHeight="1">
      <c r="A1" s="9" t="s">
        <v>138</v>
      </c>
      <c r="B1" s="9"/>
      <c r="C1" s="987" t="s">
        <v>305</v>
      </c>
      <c r="D1" s="987"/>
      <c r="E1" s="987"/>
      <c r="F1" s="987"/>
      <c r="G1" s="987"/>
      <c r="H1" s="987"/>
      <c r="I1" s="987"/>
      <c r="J1" s="996" t="s">
        <v>377</v>
      </c>
      <c r="K1" s="996"/>
      <c r="L1" s="996"/>
      <c r="M1" s="996"/>
    </row>
    <row r="2" spans="1:13" ht="16.5" customHeight="1">
      <c r="A2" s="996" t="s">
        <v>367</v>
      </c>
      <c r="B2" s="1168"/>
      <c r="C2" s="1168"/>
      <c r="D2" s="987" t="s">
        <v>111</v>
      </c>
      <c r="E2" s="987"/>
      <c r="F2" s="987"/>
      <c r="G2" s="987"/>
      <c r="H2" s="987"/>
      <c r="I2" s="77"/>
      <c r="J2" s="1172" t="s">
        <v>388</v>
      </c>
      <c r="K2" s="1172"/>
      <c r="L2" s="1172"/>
      <c r="M2" s="1172"/>
    </row>
    <row r="3" spans="1:13" ht="16.5" customHeight="1">
      <c r="A3" s="1081" t="s">
        <v>368</v>
      </c>
      <c r="B3" s="1081"/>
      <c r="C3" s="79"/>
      <c r="D3" s="997" t="s">
        <v>0</v>
      </c>
      <c r="E3" s="997"/>
      <c r="F3" s="997"/>
      <c r="G3" s="997"/>
      <c r="H3" s="997"/>
      <c r="I3" s="10"/>
      <c r="J3" s="1081" t="s">
        <v>382</v>
      </c>
      <c r="K3" s="1081"/>
      <c r="L3" s="1081"/>
      <c r="M3" s="1081"/>
    </row>
    <row r="4" spans="1:13" ht="16.5" customHeight="1">
      <c r="A4" s="1081" t="s">
        <v>114</v>
      </c>
      <c r="B4" s="1081"/>
      <c r="C4" s="980" t="s">
        <v>1</v>
      </c>
      <c r="D4" s="980"/>
      <c r="E4" s="980"/>
      <c r="F4" s="980"/>
      <c r="G4" s="980"/>
      <c r="H4" s="980"/>
      <c r="I4" s="980"/>
      <c r="J4" s="1172" t="s">
        <v>392</v>
      </c>
      <c r="K4" s="1172"/>
      <c r="L4" s="1172"/>
      <c r="M4" s="1172"/>
    </row>
    <row r="5" spans="2:14" ht="16.5" customHeight="1">
      <c r="B5" s="81"/>
      <c r="C5" s="80"/>
      <c r="D5" s="80"/>
      <c r="E5" s="80"/>
      <c r="F5" s="80"/>
      <c r="G5" s="80"/>
      <c r="H5" s="12"/>
      <c r="I5" s="12"/>
      <c r="J5" s="1191" t="s">
        <v>640</v>
      </c>
      <c r="K5" s="1191"/>
      <c r="L5" s="1191"/>
      <c r="M5" s="1191"/>
      <c r="N5" s="13"/>
    </row>
    <row r="6" spans="1:13" s="82" customFormat="1" ht="18" customHeight="1">
      <c r="A6" s="1064" t="s">
        <v>278</v>
      </c>
      <c r="B6" s="1065"/>
      <c r="C6" s="1167" t="s">
        <v>16</v>
      </c>
      <c r="D6" s="1183" t="s">
        <v>106</v>
      </c>
      <c r="E6" s="1184"/>
      <c r="F6" s="1184"/>
      <c r="G6" s="1184"/>
      <c r="H6" s="1184"/>
      <c r="I6" s="1184"/>
      <c r="J6" s="1184"/>
      <c r="K6" s="1184"/>
      <c r="L6" s="1184"/>
      <c r="M6" s="1185"/>
    </row>
    <row r="7" spans="1:13" s="82" customFormat="1" ht="21" customHeight="1">
      <c r="A7" s="1066"/>
      <c r="B7" s="1067"/>
      <c r="C7" s="1167"/>
      <c r="D7" s="1169" t="s">
        <v>179</v>
      </c>
      <c r="E7" s="1064" t="s">
        <v>177</v>
      </c>
      <c r="F7" s="1166"/>
      <c r="G7" s="1065"/>
      <c r="H7" s="1169" t="s">
        <v>273</v>
      </c>
      <c r="I7" s="1169" t="s">
        <v>272</v>
      </c>
      <c r="J7" s="1169" t="s">
        <v>271</v>
      </c>
      <c r="K7" s="1170" t="s">
        <v>275</v>
      </c>
      <c r="L7" s="1170" t="s">
        <v>276</v>
      </c>
      <c r="M7" s="1170" t="s">
        <v>277</v>
      </c>
    </row>
    <row r="8" spans="1:13" s="82" customFormat="1" ht="15" customHeight="1">
      <c r="A8" s="1066"/>
      <c r="B8" s="1067"/>
      <c r="C8" s="1167"/>
      <c r="D8" s="1170"/>
      <c r="E8" s="1154"/>
      <c r="F8" s="1186"/>
      <c r="G8" s="1155"/>
      <c r="H8" s="1170"/>
      <c r="I8" s="1170"/>
      <c r="J8" s="1170"/>
      <c r="K8" s="1170"/>
      <c r="L8" s="1170"/>
      <c r="M8" s="1170"/>
    </row>
    <row r="9" spans="1:13" s="82" customFormat="1" ht="15" customHeight="1">
      <c r="A9" s="1066"/>
      <c r="B9" s="1067"/>
      <c r="C9" s="1167"/>
      <c r="D9" s="1170"/>
      <c r="E9" s="1064" t="s">
        <v>210</v>
      </c>
      <c r="F9" s="1071" t="s">
        <v>106</v>
      </c>
      <c r="G9" s="1073"/>
      <c r="H9" s="1170"/>
      <c r="I9" s="1170"/>
      <c r="J9" s="1170"/>
      <c r="K9" s="1170"/>
      <c r="L9" s="1170"/>
      <c r="M9" s="1170"/>
    </row>
    <row r="10" spans="1:13" s="82" customFormat="1" ht="36" customHeight="1">
      <c r="A10" s="1154"/>
      <c r="B10" s="1155"/>
      <c r="C10" s="1167"/>
      <c r="D10" s="1171"/>
      <c r="E10" s="1154"/>
      <c r="F10" s="70" t="s">
        <v>69</v>
      </c>
      <c r="G10" s="70" t="s">
        <v>169</v>
      </c>
      <c r="H10" s="1171"/>
      <c r="I10" s="1171"/>
      <c r="J10" s="1171"/>
      <c r="K10" s="1171"/>
      <c r="L10" s="1171"/>
      <c r="M10" s="1171"/>
    </row>
    <row r="11" spans="1:13" s="82" customFormat="1" ht="13.5" customHeight="1">
      <c r="A11" s="1181" t="s">
        <v>105</v>
      </c>
      <c r="B11" s="1182"/>
      <c r="C11" s="380">
        <v>1</v>
      </c>
      <c r="D11" s="380">
        <v>2</v>
      </c>
      <c r="E11" s="380">
        <v>3</v>
      </c>
      <c r="F11" s="380">
        <v>4</v>
      </c>
      <c r="G11" s="380">
        <v>5</v>
      </c>
      <c r="H11" s="380">
        <v>6</v>
      </c>
      <c r="I11" s="380">
        <v>7</v>
      </c>
      <c r="J11" s="380">
        <v>8</v>
      </c>
      <c r="K11" s="380">
        <v>9</v>
      </c>
      <c r="L11" s="380">
        <v>10</v>
      </c>
      <c r="M11" s="380">
        <v>11</v>
      </c>
    </row>
    <row r="12" spans="1:14" s="82" customFormat="1" ht="21" customHeight="1">
      <c r="A12" s="20" t="s">
        <v>14</v>
      </c>
      <c r="B12" s="28" t="s">
        <v>202</v>
      </c>
      <c r="C12" s="363">
        <f>C13+C14</f>
        <v>1157215995</v>
      </c>
      <c r="D12" s="363">
        <f aca="true" t="shared" si="0" ref="D12:M12">D13+D14</f>
        <v>758915480</v>
      </c>
      <c r="E12" s="363">
        <f t="shared" si="0"/>
        <v>29607117</v>
      </c>
      <c r="F12" s="363">
        <f t="shared" si="0"/>
        <v>3710</v>
      </c>
      <c r="G12" s="363">
        <f t="shared" si="0"/>
        <v>29603407</v>
      </c>
      <c r="H12" s="363">
        <f t="shared" si="0"/>
        <v>400000</v>
      </c>
      <c r="I12" s="363">
        <f t="shared" si="0"/>
        <v>17050767</v>
      </c>
      <c r="J12" s="363">
        <f t="shared" si="0"/>
        <v>347061503</v>
      </c>
      <c r="K12" s="363">
        <f t="shared" si="0"/>
        <v>1106539</v>
      </c>
      <c r="L12" s="363">
        <f t="shared" si="0"/>
        <v>3074589</v>
      </c>
      <c r="M12" s="363">
        <f t="shared" si="0"/>
        <v>0</v>
      </c>
      <c r="N12" s="436">
        <f>C12+'Về tiền chủ động Mẫu 03.THA'!C13</f>
        <v>1204519841</v>
      </c>
    </row>
    <row r="13" spans="1:14" ht="21.75" customHeight="1">
      <c r="A13" s="83">
        <v>1</v>
      </c>
      <c r="B13" s="18" t="s">
        <v>55</v>
      </c>
      <c r="C13" s="363">
        <f aca="true" t="shared" si="1" ref="C13:C26">D13+E13+H13+I13+J13+K13+L13+M13</f>
        <v>568446126</v>
      </c>
      <c r="D13" s="410">
        <f>45587142+109202161+20200189+20172526+3096973+19390052+4486313+28421272+75404775+5828699+2638447</f>
        <v>334428549</v>
      </c>
      <c r="E13" s="521">
        <f>F13+G13</f>
        <v>12696657</v>
      </c>
      <c r="F13" s="410">
        <v>0</v>
      </c>
      <c r="G13" s="410">
        <f>28359+376203+145321+3378903+117999+126788+39575+811353+372443+1556211+5743502</f>
        <v>12696657</v>
      </c>
      <c r="H13" s="410">
        <v>400000</v>
      </c>
      <c r="I13" s="410">
        <f>23400+330740+270300+1745569+302917+727245+170728+326331+457548+2676324+0</f>
        <v>7031102</v>
      </c>
      <c r="J13" s="410">
        <f>34419944+123972398+1870700+2759726+4659342+18535567+60169+24537383</f>
        <v>210815229</v>
      </c>
      <c r="K13" s="410">
        <v>0</v>
      </c>
      <c r="L13" s="410">
        <v>3074589</v>
      </c>
      <c r="M13" s="411">
        <v>0</v>
      </c>
      <c r="N13" s="435">
        <f>C13+'Về tiền chủ động Mẫu 03.THA'!C14</f>
        <v>596468316</v>
      </c>
    </row>
    <row r="14" spans="1:15" ht="21" customHeight="1">
      <c r="A14" s="83">
        <v>2</v>
      </c>
      <c r="B14" s="14" t="s">
        <v>187</v>
      </c>
      <c r="C14" s="363">
        <f>D14+E14+H14+I14+J14+K14+L14+M14</f>
        <v>588769869</v>
      </c>
      <c r="D14" s="588">
        <f>18105970+206857728+60581241+26900758+6414126+23496052+1874269+68417806+10519563+1228186+104561-13329</f>
        <v>424486931</v>
      </c>
      <c r="E14" s="363">
        <f>F14+G14</f>
        <v>16910460</v>
      </c>
      <c r="F14" s="588">
        <v>3710</v>
      </c>
      <c r="G14" s="588">
        <f>10000966+2053223+640521+1125583+837977+509681+292816+958182+387739+38962+61100</f>
        <v>16906750</v>
      </c>
      <c r="H14" s="588">
        <v>0</v>
      </c>
      <c r="I14" s="588">
        <f>35200+27000+611350+1788163+119798+734962+318229+385500+443509+5555954</f>
        <v>10019665</v>
      </c>
      <c r="J14" s="588">
        <f>32486169+665184+3669771+10911586+87300214+1213350</f>
        <v>136246274</v>
      </c>
      <c r="K14" s="588">
        <v>1106539</v>
      </c>
      <c r="L14" s="588">
        <v>0</v>
      </c>
      <c r="M14" s="588">
        <v>0</v>
      </c>
      <c r="N14" s="435">
        <f>C14+'Về tiền chủ động Mẫu 03.THA'!C15</f>
        <v>608051525</v>
      </c>
      <c r="O14" s="398"/>
    </row>
    <row r="15" spans="1:15" ht="21.75" customHeight="1">
      <c r="A15" s="85" t="s">
        <v>15</v>
      </c>
      <c r="B15" s="5" t="s">
        <v>167</v>
      </c>
      <c r="C15" s="363">
        <f>C16+C23</f>
        <v>1157215995</v>
      </c>
      <c r="D15" s="363">
        <f aca="true" t="shared" si="2" ref="D15:M15">D16+D23</f>
        <v>758915480</v>
      </c>
      <c r="E15" s="363">
        <f t="shared" si="2"/>
        <v>29607117</v>
      </c>
      <c r="F15" s="363">
        <f t="shared" si="2"/>
        <v>3710</v>
      </c>
      <c r="G15" s="363">
        <f t="shared" si="2"/>
        <v>29603407</v>
      </c>
      <c r="H15" s="363">
        <f t="shared" si="2"/>
        <v>400000</v>
      </c>
      <c r="I15" s="363">
        <f t="shared" si="2"/>
        <v>17050767</v>
      </c>
      <c r="J15" s="363">
        <f t="shared" si="2"/>
        <v>347061503</v>
      </c>
      <c r="K15" s="363">
        <f t="shared" si="2"/>
        <v>1106539</v>
      </c>
      <c r="L15" s="363">
        <f t="shared" si="2"/>
        <v>3074589</v>
      </c>
      <c r="M15" s="363">
        <f t="shared" si="2"/>
        <v>0</v>
      </c>
      <c r="N15" s="435">
        <f>C15+'Về tiền chủ động Mẫu 03.THA'!C16</f>
        <v>1204519841</v>
      </c>
      <c r="O15" s="398"/>
    </row>
    <row r="16" spans="1:15" ht="21" customHeight="1">
      <c r="A16" s="85">
        <v>1</v>
      </c>
      <c r="B16" s="5" t="s">
        <v>57</v>
      </c>
      <c r="C16" s="363">
        <f>C17+C18+C19+C20+C21+C22</f>
        <v>707067996</v>
      </c>
      <c r="D16" s="363">
        <f aca="true" t="shared" si="3" ref="D16:M16">D17+D18+D19+D20+D21+D22</f>
        <v>436142776</v>
      </c>
      <c r="E16" s="363">
        <f t="shared" si="3"/>
        <v>24725687</v>
      </c>
      <c r="F16" s="363">
        <f t="shared" si="3"/>
        <v>3710</v>
      </c>
      <c r="G16" s="363">
        <f t="shared" si="3"/>
        <v>24721977</v>
      </c>
      <c r="H16" s="363">
        <f t="shared" si="3"/>
        <v>0</v>
      </c>
      <c r="I16" s="363">
        <f t="shared" si="3"/>
        <v>15594317</v>
      </c>
      <c r="J16" s="363">
        <f t="shared" si="3"/>
        <v>229498677</v>
      </c>
      <c r="K16" s="363">
        <f t="shared" si="3"/>
        <v>1106539</v>
      </c>
      <c r="L16" s="363">
        <f t="shared" si="3"/>
        <v>0</v>
      </c>
      <c r="M16" s="363">
        <f t="shared" si="3"/>
        <v>0</v>
      </c>
      <c r="N16" s="435">
        <f>C16+'Về tiền chủ động Mẫu 03.THA'!C17</f>
        <v>740116677</v>
      </c>
      <c r="O16" s="398"/>
    </row>
    <row r="17" spans="1:15" ht="19.5" customHeight="1">
      <c r="A17" s="83">
        <v>1.1</v>
      </c>
      <c r="B17" s="18" t="s">
        <v>58</v>
      </c>
      <c r="C17" s="363">
        <f t="shared" si="1"/>
        <v>101579881</v>
      </c>
      <c r="D17" s="589">
        <f>328841+718094+4227683+14410258+1372657+8273000+1575697+5988560+3196567+9406011+18638021-5248+200000</f>
        <v>68330141</v>
      </c>
      <c r="E17" s="522">
        <f aca="true" t="shared" si="4" ref="E17:E22">F17+G17</f>
        <v>4027698</v>
      </c>
      <c r="F17" s="589">
        <v>110</v>
      </c>
      <c r="G17" s="589">
        <f>49500+18792+348592+445065+196199+171604+205178+195392+44502+253159+2099605+0</f>
        <v>4027588</v>
      </c>
      <c r="H17" s="589">
        <v>0</v>
      </c>
      <c r="I17" s="589">
        <f>3752564+68500+272363+120535+334238+67962+295872+794650+58825+23000+50</f>
        <v>5788559</v>
      </c>
      <c r="J17" s="589">
        <f>358630+19023551+760652+1392756+1192864+200000+10000-18</f>
        <v>22938435</v>
      </c>
      <c r="K17" s="589">
        <v>495048</v>
      </c>
      <c r="L17" s="589">
        <v>0</v>
      </c>
      <c r="M17" s="588">
        <v>0</v>
      </c>
      <c r="N17" s="435">
        <f>C17+'Về tiền chủ động Mẫu 03.THA'!C18</f>
        <v>120241478</v>
      </c>
      <c r="O17" s="398"/>
    </row>
    <row r="18" spans="1:15" ht="18" customHeight="1">
      <c r="A18" s="83">
        <v>1.2</v>
      </c>
      <c r="B18" s="18" t="s">
        <v>59</v>
      </c>
      <c r="C18" s="363">
        <f t="shared" si="1"/>
        <v>44513784</v>
      </c>
      <c r="D18" s="588">
        <f>3008050+12561097+1232321+7905375+41123+1687384+275840+1851641+3843992+59327+1300</f>
        <v>32467450</v>
      </c>
      <c r="E18" s="522">
        <f t="shared" si="4"/>
        <v>383027</v>
      </c>
      <c r="F18" s="588">
        <v>0</v>
      </c>
      <c r="G18" s="588">
        <f>18500+163185+15000+14280+86215+5000+238+38576+12215+29818+0</f>
        <v>383027</v>
      </c>
      <c r="H18" s="588">
        <v>0</v>
      </c>
      <c r="I18" s="588">
        <f>17000+730400+32100+9040+6000+74100+167816+0</f>
        <v>1036456</v>
      </c>
      <c r="J18" s="588">
        <f>3253496+7373355</f>
        <v>10626851</v>
      </c>
      <c r="K18" s="588">
        <v>0</v>
      </c>
      <c r="L18" s="588">
        <v>0</v>
      </c>
      <c r="M18" s="588">
        <v>0</v>
      </c>
      <c r="N18" s="435">
        <f>C18+'Về tiền chủ động Mẫu 03.THA'!C19</f>
        <v>45721288</v>
      </c>
      <c r="O18" s="398"/>
    </row>
    <row r="19" spans="1:14" ht="19.5" customHeight="1">
      <c r="A19" s="83">
        <v>1.3</v>
      </c>
      <c r="B19" s="18" t="s">
        <v>60</v>
      </c>
      <c r="C19" s="363">
        <f t="shared" si="1"/>
        <v>4027839</v>
      </c>
      <c r="D19" s="588">
        <f>2316699+5689+313500-11600</f>
        <v>2624288</v>
      </c>
      <c r="E19" s="522">
        <f t="shared" si="4"/>
        <v>1385051</v>
      </c>
      <c r="F19" s="588">
        <v>0</v>
      </c>
      <c r="G19" s="588">
        <f>140000+46530+53780+627462+56855+448824+11600</f>
        <v>1385051</v>
      </c>
      <c r="H19" s="588">
        <v>0</v>
      </c>
      <c r="I19" s="588">
        <f>2500+16000</f>
        <v>18500</v>
      </c>
      <c r="J19" s="588">
        <v>0</v>
      </c>
      <c r="K19" s="588">
        <v>0</v>
      </c>
      <c r="L19" s="588">
        <v>0</v>
      </c>
      <c r="M19" s="588">
        <v>0</v>
      </c>
      <c r="N19" s="435">
        <f>C19+'Về tiền chủ động Mẫu 03.THA'!C20</f>
        <v>4525876</v>
      </c>
    </row>
    <row r="20" spans="1:14" ht="18.75" customHeight="1">
      <c r="A20" s="83">
        <v>1.4</v>
      </c>
      <c r="B20" s="18" t="s">
        <v>86</v>
      </c>
      <c r="C20" s="363">
        <f t="shared" si="1"/>
        <v>44779391</v>
      </c>
      <c r="D20" s="588">
        <f>1486732+3281073+3643895+5341762+3594485+11370575+1810602+7053+700000+372575+530005+11600-200000</f>
        <v>31950357</v>
      </c>
      <c r="E20" s="522">
        <f t="shared" si="4"/>
        <v>8201222</v>
      </c>
      <c r="F20" s="588">
        <v>0</v>
      </c>
      <c r="G20" s="588">
        <f>5672599+1301719+38709+634207+177742+90859+94780+99586+43574+47447+0</f>
        <v>8201222</v>
      </c>
      <c r="H20" s="588">
        <v>0</v>
      </c>
      <c r="I20" s="588">
        <f>49500+100000+9000+132230+19500+91600+49400+0</f>
        <v>451230</v>
      </c>
      <c r="J20" s="588">
        <f>10000+33181+1694041+2439360+0</f>
        <v>4176582</v>
      </c>
      <c r="K20" s="588">
        <v>0</v>
      </c>
      <c r="L20" s="588">
        <v>0</v>
      </c>
      <c r="M20" s="588">
        <v>0</v>
      </c>
      <c r="N20" s="435">
        <f>C20</f>
        <v>44779391</v>
      </c>
    </row>
    <row r="21" spans="1:15" ht="17.25" customHeight="1">
      <c r="A21" s="83">
        <v>1.5</v>
      </c>
      <c r="B21" s="18" t="s">
        <v>63</v>
      </c>
      <c r="C21" s="363">
        <f t="shared" si="1"/>
        <v>447062655</v>
      </c>
      <c r="D21" s="588">
        <f>339301+4759008+65449477+1715761+16711287+3395506+10582253+56585638+76646518+3772036-734344</f>
        <v>239222441</v>
      </c>
      <c r="E21" s="522">
        <f t="shared" si="4"/>
        <v>9596821</v>
      </c>
      <c r="F21" s="588">
        <v>3600</v>
      </c>
      <c r="G21" s="588">
        <f>179108+2744642+98065+369006+391667+93084+822753+1037058+3857838</f>
        <v>9593221</v>
      </c>
      <c r="H21" s="588">
        <v>0</v>
      </c>
      <c r="I21" s="588">
        <f>3022074+704557+119475+339882+963639+142973+2345605+233415+30200</f>
        <v>7901820</v>
      </c>
      <c r="J21" s="588">
        <f>4430165+119475723+7355039+1388586+2628299+29924887+24527383</f>
        <v>189730082</v>
      </c>
      <c r="K21" s="588">
        <v>611491</v>
      </c>
      <c r="L21" s="588">
        <v>0</v>
      </c>
      <c r="M21" s="588">
        <v>0</v>
      </c>
      <c r="N21" s="435">
        <f>C21+'Về tiền chủ động Mẫu 03.THA'!C23</f>
        <v>458452800</v>
      </c>
      <c r="O21" s="398"/>
    </row>
    <row r="22" spans="1:15" ht="18" customHeight="1">
      <c r="A22" s="83">
        <v>1.6</v>
      </c>
      <c r="B22" s="18" t="s">
        <v>64</v>
      </c>
      <c r="C22" s="363">
        <f t="shared" si="1"/>
        <v>65104446</v>
      </c>
      <c r="D22" s="588">
        <f>9841454+45756869+0+5949776</f>
        <v>61548099</v>
      </c>
      <c r="E22" s="522">
        <f t="shared" si="4"/>
        <v>1131868</v>
      </c>
      <c r="F22" s="588">
        <v>0</v>
      </c>
      <c r="G22" s="588">
        <f>677208+372511+82149+0</f>
        <v>1131868</v>
      </c>
      <c r="H22" s="588">
        <v>0</v>
      </c>
      <c r="I22" s="588">
        <f>194343+133409+70000</f>
        <v>397752</v>
      </c>
      <c r="J22" s="588">
        <f>750269+1216289+0+60169</f>
        <v>2026727</v>
      </c>
      <c r="K22" s="588">
        <v>0</v>
      </c>
      <c r="L22" s="588">
        <v>0</v>
      </c>
      <c r="M22" s="588">
        <v>0</v>
      </c>
      <c r="N22" s="435">
        <f>C22+'Về tiền chủ động Mẫu 03.THA'!C24</f>
        <v>66374456</v>
      </c>
      <c r="O22" s="398"/>
    </row>
    <row r="23" spans="1:14" ht="18.75" customHeight="1">
      <c r="A23" s="85">
        <v>2</v>
      </c>
      <c r="B23" s="5" t="s">
        <v>65</v>
      </c>
      <c r="C23" s="363">
        <f>C24+C25+C26</f>
        <v>450147999</v>
      </c>
      <c r="D23" s="363">
        <f aca="true" t="shared" si="5" ref="D23:M23">D24+D25+D26</f>
        <v>322772704</v>
      </c>
      <c r="E23" s="363">
        <f t="shared" si="5"/>
        <v>4881430</v>
      </c>
      <c r="F23" s="363">
        <f t="shared" si="5"/>
        <v>0</v>
      </c>
      <c r="G23" s="363">
        <f t="shared" si="5"/>
        <v>4881430</v>
      </c>
      <c r="H23" s="363">
        <f t="shared" si="5"/>
        <v>400000</v>
      </c>
      <c r="I23" s="363">
        <f t="shared" si="5"/>
        <v>1456450</v>
      </c>
      <c r="J23" s="363">
        <f t="shared" si="5"/>
        <v>117562826</v>
      </c>
      <c r="K23" s="363">
        <f t="shared" si="5"/>
        <v>0</v>
      </c>
      <c r="L23" s="363">
        <f t="shared" si="5"/>
        <v>3074589</v>
      </c>
      <c r="M23" s="363">
        <f t="shared" si="5"/>
        <v>0</v>
      </c>
      <c r="N23" s="426">
        <f>C23+'Về tiền chủ động Mẫu 03.THA'!C25</f>
        <v>464403164</v>
      </c>
    </row>
    <row r="24" spans="1:15" ht="20.25" customHeight="1">
      <c r="A24" s="83">
        <v>2.1</v>
      </c>
      <c r="B24" s="18" t="s">
        <v>66</v>
      </c>
      <c r="C24" s="363">
        <f t="shared" si="1"/>
        <v>32296707</v>
      </c>
      <c r="D24" s="588">
        <f>1279681+11232672+287519+2970024+152888+135278+1109881+85426+0+91010+37990</f>
        <v>17382369</v>
      </c>
      <c r="E24" s="363">
        <f>F24+G24</f>
        <v>60917</v>
      </c>
      <c r="F24" s="588">
        <v>0</v>
      </c>
      <c r="G24" s="588">
        <f>34186+11731+15000</f>
        <v>60917</v>
      </c>
      <c r="H24" s="588">
        <v>0</v>
      </c>
      <c r="I24" s="588">
        <f>5400+30235+28000+23900+246000</f>
        <v>333535</v>
      </c>
      <c r="J24" s="588">
        <f>9401531+3614974+1503381+0</f>
        <v>14519886</v>
      </c>
      <c r="K24" s="588">
        <v>0</v>
      </c>
      <c r="L24" s="588">
        <v>0</v>
      </c>
      <c r="M24" s="588">
        <v>0</v>
      </c>
      <c r="N24" s="426">
        <f>C24+'Về tiền chủ động Mẫu 03.THA'!C26</f>
        <v>40814117</v>
      </c>
      <c r="O24" s="398"/>
    </row>
    <row r="25" spans="1:14" ht="21.75" customHeight="1">
      <c r="A25" s="83">
        <v>2.2</v>
      </c>
      <c r="B25" s="18" t="s">
        <v>67</v>
      </c>
      <c r="C25" s="363">
        <f>D25+E25+H25+I25+J25+K25+L25+M25</f>
        <v>5571062</v>
      </c>
      <c r="D25" s="590">
        <f>1777462+2537212</f>
        <v>4314674</v>
      </c>
      <c r="E25" s="363">
        <f>F25+G25</f>
        <v>0</v>
      </c>
      <c r="F25" s="590">
        <v>0</v>
      </c>
      <c r="G25" s="590">
        <v>0</v>
      </c>
      <c r="H25" s="590">
        <v>400000</v>
      </c>
      <c r="I25" s="590">
        <v>856388</v>
      </c>
      <c r="J25" s="590">
        <v>0</v>
      </c>
      <c r="K25" s="590">
        <v>0</v>
      </c>
      <c r="L25" s="590">
        <v>0</v>
      </c>
      <c r="M25" s="588">
        <v>0</v>
      </c>
      <c r="N25" s="426">
        <f>C25+'Về tiền chủ động Mẫu 03.THA'!C27</f>
        <v>5915584</v>
      </c>
    </row>
    <row r="26" spans="1:15" ht="21" customHeight="1">
      <c r="A26" s="83">
        <v>2.3</v>
      </c>
      <c r="B26" s="18" t="s">
        <v>68</v>
      </c>
      <c r="C26" s="363">
        <f t="shared" si="1"/>
        <v>412280230</v>
      </c>
      <c r="D26" s="588">
        <f>1458135+31395794+14985371+1185722+2527159+48671+4443856+15835490+195845061+32657880-10206+702728</f>
        <v>301075661</v>
      </c>
      <c r="E26" s="363">
        <f>F26+G26</f>
        <v>4820513</v>
      </c>
      <c r="F26" s="588">
        <v>0</v>
      </c>
      <c r="G26" s="588">
        <f>3632102+108519+92000+21533+921250+28359+16750</f>
        <v>4820513</v>
      </c>
      <c r="H26" s="588">
        <v>0</v>
      </c>
      <c r="I26" s="588">
        <f>2127+30000+202780+31620+0</f>
        <v>266527</v>
      </c>
      <c r="J26" s="588">
        <f>17633353+2222285+61744334+21442968</f>
        <v>103042940</v>
      </c>
      <c r="K26" s="588">
        <v>0</v>
      </c>
      <c r="L26" s="588">
        <v>3074589</v>
      </c>
      <c r="M26" s="588">
        <v>0</v>
      </c>
      <c r="N26" s="426">
        <f>C26+'Về tiền chủ động Mẫu 03.THA'!C28</f>
        <v>417673463</v>
      </c>
      <c r="O26" s="398"/>
    </row>
    <row r="27" spans="1:15" ht="27" customHeight="1">
      <c r="A27" s="394" t="s">
        <v>110</v>
      </c>
      <c r="B27" s="417" t="s">
        <v>314</v>
      </c>
      <c r="C27" s="409">
        <f>(C17+C18+C19+C20)*100/C16</f>
        <v>27.564660839210152</v>
      </c>
      <c r="D27" s="409">
        <f aca="true" t="shared" si="6" ref="D27:M27">(D17+D18+D19+D20)*100/D16</f>
        <v>31.038513865010113</v>
      </c>
      <c r="E27" s="409">
        <f t="shared" si="6"/>
        <v>56.60913688667174</v>
      </c>
      <c r="F27" s="409">
        <f t="shared" si="6"/>
        <v>2.964959568733154</v>
      </c>
      <c r="G27" s="409">
        <f t="shared" si="6"/>
        <v>56.617187209582795</v>
      </c>
      <c r="H27" s="409" t="e">
        <f t="shared" si="6"/>
        <v>#DIV/0!</v>
      </c>
      <c r="I27" s="409">
        <f t="shared" si="6"/>
        <v>46.778226965631134</v>
      </c>
      <c r="J27" s="409">
        <f t="shared" si="6"/>
        <v>16.445353190423837</v>
      </c>
      <c r="K27" s="409">
        <f t="shared" si="6"/>
        <v>44.73841410018083</v>
      </c>
      <c r="L27" s="409" t="e">
        <f t="shared" si="6"/>
        <v>#DIV/0!</v>
      </c>
      <c r="M27" s="409" t="e">
        <f t="shared" si="6"/>
        <v>#DIV/0!</v>
      </c>
      <c r="O27" s="398">
        <f>N26+N25+N24+N22+N21</f>
        <v>989230420</v>
      </c>
    </row>
    <row r="28" spans="1:10" ht="15.75" customHeight="1" hidden="1">
      <c r="A28" s="1188" t="s">
        <v>231</v>
      </c>
      <c r="B28" s="1189"/>
      <c r="C28" s="1189"/>
      <c r="D28" s="1189"/>
      <c r="E28" s="1189"/>
      <c r="J28" s="86"/>
    </row>
    <row r="29" spans="1:13" s="79" customFormat="1" ht="15.75" hidden="1">
      <c r="A29" s="178" t="s">
        <v>232</v>
      </c>
      <c r="B29" s="92"/>
      <c r="C29" s="92"/>
      <c r="D29" s="92"/>
      <c r="E29" s="92"/>
      <c r="M29" s="81"/>
    </row>
    <row r="30" spans="1:5" s="79" customFormat="1" ht="15.75" hidden="1">
      <c r="A30" s="89"/>
      <c r="B30" s="178" t="s">
        <v>233</v>
      </c>
      <c r="C30" s="89"/>
      <c r="D30" s="89"/>
      <c r="E30" s="89"/>
    </row>
    <row r="31" spans="2:17" s="82" customFormat="1" ht="17.25">
      <c r="B31" s="90"/>
      <c r="C31" s="412"/>
      <c r="D31" s="412"/>
      <c r="E31" s="412"/>
      <c r="F31" s="412"/>
      <c r="G31" s="412"/>
      <c r="H31" s="412"/>
      <c r="I31" s="412"/>
      <c r="J31" s="412"/>
      <c r="K31" s="412"/>
      <c r="L31" s="1190" t="s">
        <v>107</v>
      </c>
      <c r="M31" s="1190"/>
      <c r="P31" s="91"/>
      <c r="Q31" s="92"/>
    </row>
    <row r="32" spans="2:17" s="82" customFormat="1" ht="15.75">
      <c r="B32" s="93"/>
      <c r="P32" s="1187"/>
      <c r="Q32" s="1187"/>
    </row>
    <row r="33" spans="2:17" s="82" customFormat="1" ht="15.75">
      <c r="B33" s="93"/>
      <c r="C33" s="93"/>
      <c r="D33" s="93"/>
      <c r="E33" s="93"/>
      <c r="F33" s="93"/>
      <c r="G33" s="93"/>
      <c r="H33" s="93"/>
      <c r="P33" s="93"/>
      <c r="Q33" s="93"/>
    </row>
    <row r="34" spans="2:17" s="82" customFormat="1" ht="15.75">
      <c r="B34" s="93"/>
      <c r="C34" s="427">
        <f aca="true" t="shared" si="7" ref="C34:M34">C23+C16-C12</f>
        <v>0</v>
      </c>
      <c r="D34" s="427">
        <f t="shared" si="7"/>
        <v>0</v>
      </c>
      <c r="E34" s="427">
        <f t="shared" si="7"/>
        <v>0</v>
      </c>
      <c r="F34" s="427">
        <f t="shared" si="7"/>
        <v>0</v>
      </c>
      <c r="G34" s="427">
        <f t="shared" si="7"/>
        <v>0</v>
      </c>
      <c r="H34" s="427">
        <f t="shared" si="7"/>
        <v>0</v>
      </c>
      <c r="I34" s="427">
        <f t="shared" si="7"/>
        <v>0</v>
      </c>
      <c r="J34" s="427">
        <f t="shared" si="7"/>
        <v>0</v>
      </c>
      <c r="K34" s="427">
        <f t="shared" si="7"/>
        <v>0</v>
      </c>
      <c r="L34" s="427">
        <f t="shared" si="7"/>
        <v>0</v>
      </c>
      <c r="M34" s="427">
        <f t="shared" si="7"/>
        <v>0</v>
      </c>
      <c r="P34" s="1187"/>
      <c r="Q34" s="1187"/>
    </row>
    <row r="35" spans="2:17" s="82" customFormat="1" ht="15.75">
      <c r="B35" s="93"/>
      <c r="C35" s="93"/>
      <c r="D35" s="93"/>
      <c r="E35" s="93"/>
      <c r="F35" s="93"/>
      <c r="G35" s="93"/>
      <c r="H35" s="93"/>
      <c r="P35" s="1187"/>
      <c r="Q35" s="1187"/>
    </row>
    <row r="36" spans="2:17" s="82" customFormat="1" ht="15.75">
      <c r="B36" s="93"/>
      <c r="C36" s="93"/>
      <c r="D36" s="93"/>
      <c r="E36" s="93"/>
      <c r="F36" s="93"/>
      <c r="G36" s="93"/>
      <c r="H36" s="93"/>
      <c r="P36" s="1187"/>
      <c r="Q36" s="1187"/>
    </row>
    <row r="37" spans="2:17" s="82" customFormat="1" ht="15.75">
      <c r="B37" s="94"/>
      <c r="C37" s="94"/>
      <c r="D37" s="94"/>
      <c r="E37" s="94"/>
      <c r="F37" s="94"/>
      <c r="G37" s="94"/>
      <c r="H37" s="94"/>
      <c r="P37" s="1187"/>
      <c r="Q37" s="1187"/>
    </row>
    <row r="38" spans="16:17" s="82" customFormat="1" ht="15.75">
      <c r="P38" s="1187"/>
      <c r="Q38" s="1187"/>
    </row>
    <row r="39" s="82" customFormat="1" ht="15.75"/>
    <row r="40" s="82" customFormat="1" ht="15.75"/>
    <row r="41" s="82" customFormat="1" ht="15.75"/>
    <row r="42" s="82" customFormat="1" ht="15.75"/>
    <row r="43" s="82" customFormat="1" ht="15.75"/>
  </sheetData>
  <sheetProtection/>
  <mergeCells count="34">
    <mergeCell ref="L31:M31"/>
    <mergeCell ref="C1:I1"/>
    <mergeCell ref="J1:M1"/>
    <mergeCell ref="J2:M2"/>
    <mergeCell ref="M7:M10"/>
    <mergeCell ref="K7:K10"/>
    <mergeCell ref="J7:J10"/>
    <mergeCell ref="J5:M5"/>
    <mergeCell ref="J3:M3"/>
    <mergeCell ref="J4:M4"/>
    <mergeCell ref="A28:E28"/>
    <mergeCell ref="A3:B3"/>
    <mergeCell ref="A4:B4"/>
    <mergeCell ref="A2:C2"/>
    <mergeCell ref="D2:H2"/>
    <mergeCell ref="D3:H3"/>
    <mergeCell ref="C4:I4"/>
    <mergeCell ref="I7:I10"/>
    <mergeCell ref="E9:E10"/>
    <mergeCell ref="F9:G9"/>
    <mergeCell ref="P38:Q38"/>
    <mergeCell ref="P32:Q32"/>
    <mergeCell ref="P34:Q34"/>
    <mergeCell ref="P35:Q35"/>
    <mergeCell ref="P36:Q36"/>
    <mergeCell ref="P37:Q37"/>
    <mergeCell ref="A6:B10"/>
    <mergeCell ref="A11:B11"/>
    <mergeCell ref="C6:C10"/>
    <mergeCell ref="D6:M6"/>
    <mergeCell ref="D7:D10"/>
    <mergeCell ref="E7:G8"/>
    <mergeCell ref="L7:L10"/>
    <mergeCell ref="H7:H10"/>
  </mergeCells>
  <printOptions/>
  <pageMargins left="0.2" right="0" top="0.25" bottom="0" header="0.5" footer="0.5"/>
  <pageSetup horizontalDpi="600" verticalDpi="600" orientation="landscape" paperSize="9" r:id="rId4"/>
  <drawing r:id="rId3"/>
  <legacyDrawing r:id="rId2"/>
</worksheet>
</file>

<file path=xl/worksheets/sheet23.xml><?xml version="1.0" encoding="utf-8"?>
<worksheet xmlns="http://schemas.openxmlformats.org/spreadsheetml/2006/main" xmlns:r="http://schemas.openxmlformats.org/officeDocument/2006/relationships">
  <sheetPr>
    <tabColor indexed="11"/>
  </sheetPr>
  <dimension ref="A2:E43"/>
  <sheetViews>
    <sheetView zoomScale="90" zoomScaleNormal="90" zoomScalePageLayoutView="0" workbookViewId="0" topLeftCell="A10">
      <selection activeCell="B25" sqref="B25:B26"/>
    </sheetView>
  </sheetViews>
  <sheetFormatPr defaultColWidth="9.00390625" defaultRowHeight="15.75"/>
  <cols>
    <col min="1" max="1" width="5.875" style="0" customWidth="1"/>
    <col min="2" max="2" width="53.625" style="0" customWidth="1"/>
    <col min="3" max="3" width="30.00390625" style="0" customWidth="1"/>
    <col min="4" max="4" width="41.50390625" style="0" customWidth="1"/>
    <col min="5" max="5" width="24.50390625" style="0" customWidth="1"/>
  </cols>
  <sheetData>
    <row r="2" spans="1:4" s="1" customFormat="1" ht="15.75" customHeight="1">
      <c r="A2" s="1193" t="s">
        <v>312</v>
      </c>
      <c r="B2" s="1193"/>
      <c r="C2" s="1193"/>
      <c r="D2" s="1193"/>
    </row>
    <row r="3" spans="1:4" s="1" customFormat="1" ht="15.75" customHeight="1">
      <c r="A3" s="1194" t="s">
        <v>315</v>
      </c>
      <c r="B3" s="1194"/>
      <c r="C3" s="1194"/>
      <c r="D3" s="1194"/>
    </row>
    <row r="4" spans="1:4" ht="15.75">
      <c r="A4" s="1198" t="s">
        <v>274</v>
      </c>
      <c r="B4" s="1199"/>
      <c r="C4" s="4" t="s">
        <v>17</v>
      </c>
      <c r="D4" s="4" t="s">
        <v>18</v>
      </c>
    </row>
    <row r="5" spans="1:4" ht="15.75">
      <c r="A5" s="1196" t="s">
        <v>105</v>
      </c>
      <c r="B5" s="1197"/>
      <c r="C5" s="414">
        <v>1</v>
      </c>
      <c r="D5" s="414">
        <v>2</v>
      </c>
    </row>
    <row r="6" spans="1:5" ht="21" customHeight="1">
      <c r="A6" s="523">
        <v>1</v>
      </c>
      <c r="B6" s="524" t="s">
        <v>70</v>
      </c>
      <c r="C6" s="525">
        <f>'Về tiền chủ động Mẫu 03.THA'!C26</f>
        <v>8517410</v>
      </c>
      <c r="D6" s="2"/>
      <c r="E6" s="398">
        <f>C11+C10+C9+C8+C7-C6</f>
        <v>0</v>
      </c>
    </row>
    <row r="7" spans="1:4" ht="19.5" customHeight="1">
      <c r="A7" s="3">
        <v>1.1</v>
      </c>
      <c r="B7" s="31" t="s">
        <v>71</v>
      </c>
      <c r="C7" s="666">
        <f>116767+1157+38482+50889+63322+24233+0+31501+421566</f>
        <v>747917</v>
      </c>
      <c r="D7" s="2"/>
    </row>
    <row r="8" spans="1:4" ht="18" customHeight="1">
      <c r="A8" s="3">
        <v>1.2</v>
      </c>
      <c r="B8" s="31" t="s">
        <v>72</v>
      </c>
      <c r="C8" s="666">
        <f>949937+1860098+971879+772148+400052+461097+236421+274970+1586281+138677</f>
        <v>7651560</v>
      </c>
      <c r="D8" s="2"/>
    </row>
    <row r="9" spans="1:4" ht="16.5" customHeight="1">
      <c r="A9" s="3">
        <v>1.3</v>
      </c>
      <c r="B9" s="31" t="s">
        <v>73</v>
      </c>
      <c r="C9" s="415">
        <v>0</v>
      </c>
      <c r="D9" s="2"/>
    </row>
    <row r="10" spans="1:4" ht="18" customHeight="1">
      <c r="A10" s="3">
        <v>1.4</v>
      </c>
      <c r="B10" s="31" t="s">
        <v>74</v>
      </c>
      <c r="C10" s="415">
        <v>0</v>
      </c>
      <c r="D10" s="2"/>
    </row>
    <row r="11" spans="1:4" ht="17.25" customHeight="1">
      <c r="A11" s="3">
        <v>1.5</v>
      </c>
      <c r="B11" s="31" t="s">
        <v>75</v>
      </c>
      <c r="C11" s="415">
        <v>117933</v>
      </c>
      <c r="D11" s="2"/>
    </row>
    <row r="12" spans="1:5" ht="21" customHeight="1">
      <c r="A12" s="523">
        <v>2</v>
      </c>
      <c r="B12" s="524" t="s">
        <v>67</v>
      </c>
      <c r="C12" s="525">
        <f>'Về tiền chủ động Mẫu 03.THA'!C27</f>
        <v>344522</v>
      </c>
      <c r="D12" s="2"/>
      <c r="E12" s="398">
        <f>C14+C13-C12</f>
        <v>0</v>
      </c>
    </row>
    <row r="13" spans="1:4" ht="18" customHeight="1">
      <c r="A13" s="3">
        <v>2.1</v>
      </c>
      <c r="B13" s="31" t="s">
        <v>76</v>
      </c>
      <c r="C13" s="415">
        <v>344522</v>
      </c>
      <c r="D13" s="2"/>
    </row>
    <row r="14" spans="1:4" ht="18" customHeight="1">
      <c r="A14" s="3">
        <v>2.2</v>
      </c>
      <c r="B14" s="31" t="s">
        <v>77</v>
      </c>
      <c r="C14" s="415">
        <v>0</v>
      </c>
      <c r="D14" s="2"/>
    </row>
    <row r="15" spans="1:5" ht="21" customHeight="1">
      <c r="A15" s="523">
        <v>3</v>
      </c>
      <c r="B15" s="524" t="s">
        <v>59</v>
      </c>
      <c r="C15" s="525">
        <f>'Về tiền chủ động Mẫu 03.THA'!C19</f>
        <v>1207504</v>
      </c>
      <c r="D15" s="2"/>
      <c r="E15" s="398">
        <f>C20+C19+C18+C17+C16-C15</f>
        <v>0</v>
      </c>
    </row>
    <row r="16" spans="1:4" ht="17.25" customHeight="1">
      <c r="A16" s="3">
        <v>3.1</v>
      </c>
      <c r="B16" s="31" t="s">
        <v>78</v>
      </c>
      <c r="C16" s="666">
        <f>907667+2475+11625+2455+2041</f>
        <v>926263</v>
      </c>
      <c r="D16" s="2"/>
    </row>
    <row r="17" spans="1:4" ht="18" customHeight="1">
      <c r="A17" s="3">
        <v>3.2</v>
      </c>
      <c r="B17" s="31" t="s">
        <v>79</v>
      </c>
      <c r="C17" s="666">
        <f>86663+76842</f>
        <v>163505</v>
      </c>
      <c r="D17" s="2"/>
    </row>
    <row r="18" spans="1:4" ht="18" customHeight="1">
      <c r="A18" s="3">
        <v>3.3</v>
      </c>
      <c r="B18" s="31" t="s">
        <v>80</v>
      </c>
      <c r="C18" s="666">
        <v>2680</v>
      </c>
      <c r="D18" s="2"/>
    </row>
    <row r="19" spans="1:4" ht="19.5" customHeight="1">
      <c r="A19" s="3">
        <v>3.4</v>
      </c>
      <c r="B19" s="31" t="s">
        <v>81</v>
      </c>
      <c r="C19" s="666">
        <v>17902</v>
      </c>
      <c r="D19" s="2"/>
    </row>
    <row r="20" spans="1:4" ht="19.5" customHeight="1">
      <c r="A20" s="3">
        <v>3.5</v>
      </c>
      <c r="B20" s="31" t="s">
        <v>82</v>
      </c>
      <c r="C20" s="666">
        <v>97154</v>
      </c>
      <c r="D20" s="2"/>
    </row>
    <row r="21" spans="1:5" ht="21.75" customHeight="1">
      <c r="A21" s="523">
        <v>4</v>
      </c>
      <c r="B21" s="524" t="s">
        <v>295</v>
      </c>
      <c r="C21" s="525">
        <f>'Về tiền chủ động Mẫu 03.THA'!C28</f>
        <v>5393233</v>
      </c>
      <c r="D21" s="2"/>
      <c r="E21" s="398">
        <f>C24+C23+C22-C21</f>
        <v>0</v>
      </c>
    </row>
    <row r="22" spans="1:4" ht="19.5" customHeight="1">
      <c r="A22" s="3">
        <v>4.1</v>
      </c>
      <c r="B22" s="31" t="s">
        <v>84</v>
      </c>
      <c r="C22" s="666">
        <v>141248</v>
      </c>
      <c r="D22" s="2"/>
    </row>
    <row r="23" spans="1:4" ht="18" customHeight="1">
      <c r="A23" s="3">
        <v>4.2</v>
      </c>
      <c r="B23" s="31" t="s">
        <v>85</v>
      </c>
      <c r="C23" s="666">
        <v>2653431</v>
      </c>
      <c r="D23" s="2"/>
    </row>
    <row r="24" spans="1:4" ht="19.5" customHeight="1">
      <c r="A24" s="3">
        <v>4.3</v>
      </c>
      <c r="B24" s="36" t="s">
        <v>120</v>
      </c>
      <c r="C24" s="666">
        <f>21923+222825+506432+275944+46612+129096+1385942+9780</f>
        <v>2598554</v>
      </c>
      <c r="D24" s="2"/>
    </row>
    <row r="25" spans="1:4" s="15" customFormat="1" ht="25.5" customHeight="1">
      <c r="A25" s="37"/>
      <c r="B25" s="1195" t="s">
        <v>731</v>
      </c>
      <c r="C25" s="7"/>
      <c r="D25" s="1195" t="s">
        <v>730</v>
      </c>
    </row>
    <row r="26" spans="2:4" ht="15.75" customHeight="1">
      <c r="B26" s="879"/>
      <c r="C26" s="7"/>
      <c r="D26" s="879"/>
    </row>
    <row r="27" spans="1:5" s="46" customFormat="1" ht="16.5">
      <c r="A27" s="37"/>
      <c r="B27" s="44"/>
      <c r="D27" s="217" t="s">
        <v>656</v>
      </c>
      <c r="E27" s="45"/>
    </row>
    <row r="28" spans="2:4" ht="15.75">
      <c r="B28" t="s">
        <v>22</v>
      </c>
      <c r="D28" s="6"/>
    </row>
    <row r="29" ht="15.75">
      <c r="D29" s="6"/>
    </row>
    <row r="30" ht="15.75">
      <c r="D30" s="6"/>
    </row>
    <row r="31" spans="2:4" ht="16.5">
      <c r="B31" s="210" t="s">
        <v>390</v>
      </c>
      <c r="C31" s="218"/>
      <c r="D31" s="209" t="s">
        <v>2</v>
      </c>
    </row>
    <row r="32" ht="15.75">
      <c r="D32" s="6"/>
    </row>
    <row r="33" ht="15.75">
      <c r="D33" s="8"/>
    </row>
    <row r="34" spans="1:3" s="22" customFormat="1" ht="15.75" hidden="1">
      <c r="A34" s="1192" t="s">
        <v>188</v>
      </c>
      <c r="B34" s="1192"/>
      <c r="C34" s="24"/>
    </row>
    <row r="35" s="22" customFormat="1" ht="15.75" hidden="1">
      <c r="B35" s="26" t="s">
        <v>206</v>
      </c>
    </row>
    <row r="36" spans="2:3" s="22" customFormat="1" ht="15.75" hidden="1">
      <c r="B36" s="29" t="s">
        <v>254</v>
      </c>
      <c r="C36" s="30"/>
    </row>
    <row r="37" spans="2:3" s="22" customFormat="1" ht="15.75" hidden="1">
      <c r="B37" s="29" t="s">
        <v>230</v>
      </c>
      <c r="C37" s="30"/>
    </row>
    <row r="38" s="22" customFormat="1" ht="15.75" hidden="1">
      <c r="B38" s="26" t="s">
        <v>255</v>
      </c>
    </row>
    <row r="39" ht="15.75">
      <c r="B39" s="26"/>
    </row>
    <row r="43" ht="15.75">
      <c r="D43" s="25" t="s">
        <v>108</v>
      </c>
    </row>
  </sheetData>
  <sheetProtection/>
  <mergeCells count="7">
    <mergeCell ref="A34:B34"/>
    <mergeCell ref="A2:D2"/>
    <mergeCell ref="A3:D3"/>
    <mergeCell ref="B25:B26"/>
    <mergeCell ref="D25:D26"/>
    <mergeCell ref="A5:B5"/>
    <mergeCell ref="A4:B4"/>
  </mergeCells>
  <printOptions/>
  <pageMargins left="0.5" right="0.25" top="0.2" bottom="0.25" header="0.5" footer="0.5"/>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indexed="11"/>
  </sheetPr>
  <dimension ref="A2:M35"/>
  <sheetViews>
    <sheetView zoomScalePageLayoutView="0" workbookViewId="0" topLeftCell="A7">
      <selection activeCell="D26" sqref="D26"/>
    </sheetView>
  </sheetViews>
  <sheetFormatPr defaultColWidth="9.00390625" defaultRowHeight="15.75"/>
  <cols>
    <col min="1" max="1" width="4.625" style="76" customWidth="1"/>
    <col min="2" max="2" width="29.625" style="76" customWidth="1"/>
    <col min="3" max="3" width="10.75390625" style="76" customWidth="1"/>
    <col min="4" max="4" width="10.50390625" style="76" customWidth="1"/>
    <col min="5" max="7" width="9.75390625" style="76" customWidth="1"/>
    <col min="8" max="8" width="8.375" style="76" customWidth="1"/>
    <col min="9" max="10" width="9.625" style="76" customWidth="1"/>
    <col min="11" max="11" width="7.625" style="76" customWidth="1"/>
    <col min="12" max="12" width="7.00390625" style="76" customWidth="1"/>
    <col min="13" max="13" width="7.50390625" style="76" customWidth="1"/>
    <col min="14" max="16384" width="9.00390625" style="76" customWidth="1"/>
  </cols>
  <sheetData>
    <row r="2" spans="1:13" ht="21.75" customHeight="1">
      <c r="A2" s="996" t="s">
        <v>137</v>
      </c>
      <c r="B2" s="1168"/>
      <c r="C2" s="175"/>
      <c r="D2" s="987" t="s">
        <v>304</v>
      </c>
      <c r="E2" s="987"/>
      <c r="F2" s="987"/>
      <c r="G2" s="987"/>
      <c r="H2" s="987"/>
      <c r="I2" s="987"/>
      <c r="J2" s="996" t="s">
        <v>377</v>
      </c>
      <c r="K2" s="996"/>
      <c r="L2" s="996"/>
      <c r="M2" s="996"/>
    </row>
    <row r="3" spans="1:13" s="79" customFormat="1" ht="15.75" customHeight="1">
      <c r="A3" s="996" t="s">
        <v>367</v>
      </c>
      <c r="B3" s="1168"/>
      <c r="C3" s="1168"/>
      <c r="D3" s="987" t="s">
        <v>220</v>
      </c>
      <c r="E3" s="987"/>
      <c r="F3" s="987"/>
      <c r="G3" s="987"/>
      <c r="H3" s="987"/>
      <c r="I3" s="987"/>
      <c r="J3" s="1172" t="s">
        <v>388</v>
      </c>
      <c r="K3" s="1172"/>
      <c r="L3" s="1172"/>
      <c r="M3" s="1172"/>
    </row>
    <row r="4" spans="1:13" s="79" customFormat="1" ht="14.25" customHeight="1">
      <c r="A4" s="1081" t="s">
        <v>368</v>
      </c>
      <c r="B4" s="1081"/>
      <c r="D4" s="987" t="s">
        <v>0</v>
      </c>
      <c r="E4" s="987"/>
      <c r="F4" s="987"/>
      <c r="G4" s="987"/>
      <c r="H4" s="987"/>
      <c r="I4" s="987"/>
      <c r="J4" s="1081" t="s">
        <v>178</v>
      </c>
      <c r="K4" s="1081"/>
      <c r="L4" s="1081"/>
      <c r="M4" s="1081"/>
    </row>
    <row r="5" spans="1:13" s="79" customFormat="1" ht="15.75" customHeight="1">
      <c r="A5" s="1081" t="s">
        <v>19</v>
      </c>
      <c r="B5" s="1081"/>
      <c r="C5" s="980" t="s">
        <v>1</v>
      </c>
      <c r="D5" s="980"/>
      <c r="E5" s="980"/>
      <c r="F5" s="980"/>
      <c r="G5" s="980"/>
      <c r="H5" s="980"/>
      <c r="I5" s="980"/>
      <c r="J5" s="1172" t="s">
        <v>392</v>
      </c>
      <c r="K5" s="1172"/>
      <c r="L5" s="1172"/>
      <c r="M5" s="1172"/>
    </row>
    <row r="6" spans="1:13" s="82" customFormat="1" ht="14.25" customHeight="1">
      <c r="A6" s="81"/>
      <c r="B6" s="81"/>
      <c r="C6" s="80"/>
      <c r="D6" s="80"/>
      <c r="E6" s="80"/>
      <c r="F6" s="1163"/>
      <c r="G6" s="1163"/>
      <c r="H6" s="1163"/>
      <c r="I6" s="407"/>
      <c r="J6" s="983" t="s">
        <v>322</v>
      </c>
      <c r="K6" s="983"/>
      <c r="L6" s="983"/>
      <c r="M6" s="983"/>
    </row>
    <row r="7" spans="1:13" s="82" customFormat="1" ht="15.75" customHeight="1">
      <c r="A7" s="1064" t="str">
        <f>'Về việc theo đơn Mau 02.THA1'!$A$7</f>
        <v>Tên chỉ tiêu</v>
      </c>
      <c r="B7" s="1065"/>
      <c r="C7" s="1167" t="s">
        <v>165</v>
      </c>
      <c r="D7" s="1183" t="s">
        <v>106</v>
      </c>
      <c r="E7" s="1184"/>
      <c r="F7" s="1184"/>
      <c r="G7" s="1184"/>
      <c r="H7" s="1184"/>
      <c r="I7" s="1184"/>
      <c r="J7" s="1184"/>
      <c r="K7" s="1184"/>
      <c r="L7" s="1184"/>
      <c r="M7" s="1185"/>
    </row>
    <row r="8" spans="1:13" s="82" customFormat="1" ht="21" customHeight="1">
      <c r="A8" s="1066"/>
      <c r="B8" s="1067"/>
      <c r="C8" s="1167"/>
      <c r="D8" s="1169" t="s">
        <v>179</v>
      </c>
      <c r="E8" s="1064" t="s">
        <v>177</v>
      </c>
      <c r="F8" s="1166"/>
      <c r="G8" s="1065"/>
      <c r="H8" s="1169" t="s">
        <v>273</v>
      </c>
      <c r="I8" s="1169" t="s">
        <v>272</v>
      </c>
      <c r="J8" s="1200" t="s">
        <v>271</v>
      </c>
      <c r="K8" s="1170" t="s">
        <v>180</v>
      </c>
      <c r="L8" s="1170" t="s">
        <v>181</v>
      </c>
      <c r="M8" s="1170" t="s">
        <v>182</v>
      </c>
    </row>
    <row r="9" spans="1:13" s="82" customFormat="1" ht="15" customHeight="1">
      <c r="A9" s="1066"/>
      <c r="B9" s="1067"/>
      <c r="C9" s="1167"/>
      <c r="D9" s="1170"/>
      <c r="E9" s="1154"/>
      <c r="F9" s="1186"/>
      <c r="G9" s="1155"/>
      <c r="H9" s="1170"/>
      <c r="I9" s="1170"/>
      <c r="J9" s="1201"/>
      <c r="K9" s="1170"/>
      <c r="L9" s="1170"/>
      <c r="M9" s="1170"/>
    </row>
    <row r="10" spans="1:13" s="82" customFormat="1" ht="15" customHeight="1">
      <c r="A10" s="1066"/>
      <c r="B10" s="1067"/>
      <c r="C10" s="1167"/>
      <c r="D10" s="1170"/>
      <c r="E10" s="1064" t="s">
        <v>146</v>
      </c>
      <c r="F10" s="1071" t="s">
        <v>106</v>
      </c>
      <c r="G10" s="1073"/>
      <c r="H10" s="1170"/>
      <c r="I10" s="1170"/>
      <c r="J10" s="1201"/>
      <c r="K10" s="1170"/>
      <c r="L10" s="1170"/>
      <c r="M10" s="1170"/>
    </row>
    <row r="11" spans="1:13" s="82" customFormat="1" ht="28.5" customHeight="1">
      <c r="A11" s="1154"/>
      <c r="B11" s="1155"/>
      <c r="C11" s="1167"/>
      <c r="D11" s="1171"/>
      <c r="E11" s="1154"/>
      <c r="F11" s="70" t="s">
        <v>69</v>
      </c>
      <c r="G11" s="70" t="s">
        <v>169</v>
      </c>
      <c r="H11" s="1171"/>
      <c r="I11" s="1171"/>
      <c r="J11" s="1202"/>
      <c r="K11" s="1171"/>
      <c r="L11" s="1171"/>
      <c r="M11" s="1171"/>
    </row>
    <row r="12" spans="1:13" s="82" customFormat="1" ht="13.5" customHeight="1">
      <c r="A12" s="1181" t="s">
        <v>105</v>
      </c>
      <c r="B12" s="1182"/>
      <c r="C12" s="380">
        <v>1</v>
      </c>
      <c r="D12" s="380">
        <v>2</v>
      </c>
      <c r="E12" s="380">
        <v>3</v>
      </c>
      <c r="F12" s="380">
        <v>4</v>
      </c>
      <c r="G12" s="380">
        <v>5</v>
      </c>
      <c r="H12" s="380">
        <v>6</v>
      </c>
      <c r="I12" s="380">
        <v>7</v>
      </c>
      <c r="J12" s="380">
        <v>8</v>
      </c>
      <c r="K12" s="380">
        <v>9</v>
      </c>
      <c r="L12" s="380">
        <v>10</v>
      </c>
      <c r="M12" s="380">
        <v>11</v>
      </c>
    </row>
    <row r="13" spans="1:13" s="82" customFormat="1" ht="19.5" customHeight="1">
      <c r="A13" s="85" t="s">
        <v>14</v>
      </c>
      <c r="B13" s="5" t="s">
        <v>54</v>
      </c>
      <c r="C13" s="363">
        <f>C14+C15</f>
        <v>47303846</v>
      </c>
      <c r="D13" s="363">
        <f aca="true" t="shared" si="0" ref="D13:M13">D14+D15</f>
        <v>17234417</v>
      </c>
      <c r="E13" s="363">
        <f t="shared" si="0"/>
        <v>14728864</v>
      </c>
      <c r="F13" s="363">
        <f t="shared" si="0"/>
        <v>885381</v>
      </c>
      <c r="G13" s="363">
        <f t="shared" si="0"/>
        <v>13843483</v>
      </c>
      <c r="H13" s="363">
        <f t="shared" si="0"/>
        <v>3900</v>
      </c>
      <c r="I13" s="363">
        <f t="shared" si="0"/>
        <v>2366267</v>
      </c>
      <c r="J13" s="363">
        <f t="shared" si="0"/>
        <v>12747137</v>
      </c>
      <c r="K13" s="363">
        <f t="shared" si="0"/>
        <v>14340</v>
      </c>
      <c r="L13" s="363">
        <f t="shared" si="0"/>
        <v>0</v>
      </c>
      <c r="M13" s="363">
        <f t="shared" si="0"/>
        <v>208921</v>
      </c>
    </row>
    <row r="14" spans="1:13" s="82" customFormat="1" ht="19.5" customHeight="1">
      <c r="A14" s="83">
        <v>1</v>
      </c>
      <c r="B14" s="18" t="s">
        <v>55</v>
      </c>
      <c r="C14" s="363">
        <f aca="true" t="shared" si="1" ref="C14:C28">D14+E14+H14+I14+J14+K14+L14+M14</f>
        <v>28022190</v>
      </c>
      <c r="D14" s="405">
        <f>652021+2378177+942759+408101+82913+515850+155006+807527+767269+518137+60604</f>
        <v>7288364</v>
      </c>
      <c r="E14" s="521">
        <f>F14+G14</f>
        <v>9138165</v>
      </c>
      <c r="F14" s="405">
        <f>5400+16550+4800+19200+23170+32791+154288+55340+402206+65200</f>
        <v>778945</v>
      </c>
      <c r="G14" s="405">
        <f>1851240+1482264+538090+594943+371778+370344+428030+672619+1658647+384961+6304</f>
        <v>8359220</v>
      </c>
      <c r="H14" s="405">
        <v>300</v>
      </c>
      <c r="I14" s="405">
        <f>4500+33489+0+127294+107233+235673+10087+14976+212083+344085+0</f>
        <v>1089420</v>
      </c>
      <c r="J14" s="405">
        <f>358426+6481+205971+125119+0+84662+660330+9064952</f>
        <v>10505941</v>
      </c>
      <c r="K14" s="405">
        <v>0</v>
      </c>
      <c r="L14" s="405">
        <v>0</v>
      </c>
      <c r="M14" s="405">
        <v>0</v>
      </c>
    </row>
    <row r="15" spans="1:13" s="82" customFormat="1" ht="19.5" customHeight="1">
      <c r="A15" s="83">
        <v>2</v>
      </c>
      <c r="B15" s="18" t="s">
        <v>187</v>
      </c>
      <c r="C15" s="363">
        <f t="shared" si="1"/>
        <v>19281656</v>
      </c>
      <c r="D15" s="585">
        <f>3956853+1546528+730618+1065523+120239+1215154+323633+473544+302842+184905+26214</f>
        <v>9946053</v>
      </c>
      <c r="E15" s="521">
        <f>F15+G15</f>
        <v>5590699</v>
      </c>
      <c r="F15" s="585">
        <f>21020+100+8800+3845+36801+9400+25570+900</f>
        <v>106436</v>
      </c>
      <c r="G15" s="585">
        <f>203949+245342+842365+269628+343433+305902+109801+144141+1083510+567424+1368768</f>
        <v>5484263</v>
      </c>
      <c r="H15" s="585">
        <f>400+1000+400+400+400+200+800</f>
        <v>3600</v>
      </c>
      <c r="I15" s="585">
        <f>6600+38833+6900+213470+70369+234140+44357+100117+176551+361832+10350+13328</f>
        <v>1276847</v>
      </c>
      <c r="J15" s="585">
        <f>91800+1194972+441537+52708+73122+212002+24327+140728+0+10000</f>
        <v>2241196</v>
      </c>
      <c r="K15" s="585">
        <v>14340</v>
      </c>
      <c r="L15" s="585">
        <v>0</v>
      </c>
      <c r="M15" s="585">
        <v>208921</v>
      </c>
    </row>
    <row r="16" spans="1:13" s="82" customFormat="1" ht="19.5" customHeight="1">
      <c r="A16" s="85" t="s">
        <v>15</v>
      </c>
      <c r="B16" s="5" t="s">
        <v>167</v>
      </c>
      <c r="C16" s="363">
        <f t="shared" si="1"/>
        <v>47303846</v>
      </c>
      <c r="D16" s="363">
        <f aca="true" t="shared" si="2" ref="D16:M16">D17+D25</f>
        <v>17234417</v>
      </c>
      <c r="E16" s="363">
        <f t="shared" si="2"/>
        <v>14728864</v>
      </c>
      <c r="F16" s="363">
        <f t="shared" si="2"/>
        <v>885381</v>
      </c>
      <c r="G16" s="363">
        <f t="shared" si="2"/>
        <v>13843483</v>
      </c>
      <c r="H16" s="363">
        <f t="shared" si="2"/>
        <v>3900</v>
      </c>
      <c r="I16" s="363">
        <f t="shared" si="2"/>
        <v>2366267</v>
      </c>
      <c r="J16" s="363">
        <f t="shared" si="2"/>
        <v>12747137</v>
      </c>
      <c r="K16" s="363">
        <f t="shared" si="2"/>
        <v>14340</v>
      </c>
      <c r="L16" s="363">
        <f t="shared" si="2"/>
        <v>0</v>
      </c>
      <c r="M16" s="363">
        <f t="shared" si="2"/>
        <v>208921</v>
      </c>
    </row>
    <row r="17" spans="1:13" s="82" customFormat="1" ht="19.5" customHeight="1">
      <c r="A17" s="85">
        <v>1</v>
      </c>
      <c r="B17" s="16" t="s">
        <v>57</v>
      </c>
      <c r="C17" s="363">
        <f>C18+C19+C20+C21+C22+C23+C24</f>
        <v>33048681</v>
      </c>
      <c r="D17" s="363">
        <f aca="true" t="shared" si="3" ref="D17:M17">D18+D19+D20+D21+D22+D23+D24</f>
        <v>12394538</v>
      </c>
      <c r="E17" s="363">
        <f t="shared" si="3"/>
        <v>6727306</v>
      </c>
      <c r="F17" s="363">
        <f t="shared" si="3"/>
        <v>279232</v>
      </c>
      <c r="G17" s="363">
        <f t="shared" si="3"/>
        <v>6448074</v>
      </c>
      <c r="H17" s="363">
        <f t="shared" si="3"/>
        <v>3900</v>
      </c>
      <c r="I17" s="363">
        <f t="shared" si="3"/>
        <v>1835402</v>
      </c>
      <c r="J17" s="363">
        <f t="shared" si="3"/>
        <v>11864274</v>
      </c>
      <c r="K17" s="363">
        <f t="shared" si="3"/>
        <v>14340</v>
      </c>
      <c r="L17" s="363">
        <f>L18+L19+L20+L21+L22+L23+L24</f>
        <v>0</v>
      </c>
      <c r="M17" s="363">
        <f t="shared" si="3"/>
        <v>208921</v>
      </c>
    </row>
    <row r="18" spans="1:13" s="82" customFormat="1" ht="19.5" customHeight="1">
      <c r="A18" s="83">
        <v>1.1</v>
      </c>
      <c r="B18" s="17" t="s">
        <v>58</v>
      </c>
      <c r="C18" s="363">
        <f t="shared" si="1"/>
        <v>18661597</v>
      </c>
      <c r="D18" s="586">
        <f>18725+280258+147393+485757+270993+1064606+135353+947937+451041+737897+757578</f>
        <v>5297538</v>
      </c>
      <c r="E18" s="522">
        <f>F18+G18</f>
        <v>2632950</v>
      </c>
      <c r="F18" s="586">
        <f>900+25175+2180+14160+3350+6100+100+200+0</f>
        <v>52165</v>
      </c>
      <c r="G18" s="586">
        <f>282360+459105+299034+95837+77906+271933+275093+138800+294290+274626+111801</f>
        <v>2580785</v>
      </c>
      <c r="H18" s="586">
        <f>800+200+400+400+400+1000+400</f>
        <v>3600</v>
      </c>
      <c r="I18" s="586">
        <f>10250+360188+30550+95689+19299+208251+73562+85464+6900+41507+6600</f>
        <v>938260</v>
      </c>
      <c r="J18" s="586">
        <f>88635+27686+12843+19349+559+214180+604994+8812762</f>
        <v>9781008</v>
      </c>
      <c r="K18" s="586">
        <v>8241</v>
      </c>
      <c r="L18" s="586">
        <v>0</v>
      </c>
      <c r="M18" s="586">
        <v>0</v>
      </c>
    </row>
    <row r="19" spans="1:13" s="82" customFormat="1" ht="19.5" customHeight="1">
      <c r="A19" s="83">
        <v>1.2</v>
      </c>
      <c r="B19" s="18" t="s">
        <v>59</v>
      </c>
      <c r="C19" s="363">
        <f t="shared" si="1"/>
        <v>1207504</v>
      </c>
      <c r="D19" s="585">
        <f>857978+115316+88467+2455+86663+1122+0</f>
        <v>1152001</v>
      </c>
      <c r="E19" s="522">
        <f aca="true" t="shared" si="4" ref="E19:E24">F19+G19</f>
        <v>55503</v>
      </c>
      <c r="F19" s="585">
        <v>0</v>
      </c>
      <c r="G19" s="585">
        <f>919+4895+49689</f>
        <v>55503</v>
      </c>
      <c r="H19" s="585">
        <v>0</v>
      </c>
      <c r="I19" s="585">
        <f>0</f>
        <v>0</v>
      </c>
      <c r="J19" s="585">
        <v>0</v>
      </c>
      <c r="K19" s="585">
        <v>0</v>
      </c>
      <c r="L19" s="585">
        <v>0</v>
      </c>
      <c r="M19" s="585">
        <v>0</v>
      </c>
    </row>
    <row r="20" spans="1:13" ht="19.5" customHeight="1">
      <c r="A20" s="83">
        <v>1.3</v>
      </c>
      <c r="B20" s="17" t="s">
        <v>60</v>
      </c>
      <c r="C20" s="363">
        <f t="shared" si="1"/>
        <v>498037</v>
      </c>
      <c r="D20" s="585">
        <f>41655+1125+60108+9208+65115+71012+0</f>
        <v>248223</v>
      </c>
      <c r="E20" s="522">
        <f t="shared" si="4"/>
        <v>229465</v>
      </c>
      <c r="F20" s="585">
        <v>4050</v>
      </c>
      <c r="G20" s="585">
        <f>123356+15959+7180+33956+3800+6395+9344+5816+7399+12210+0</f>
        <v>225415</v>
      </c>
      <c r="H20" s="585">
        <v>0</v>
      </c>
      <c r="I20" s="585">
        <v>200</v>
      </c>
      <c r="J20" s="585">
        <v>20149</v>
      </c>
      <c r="K20" s="585">
        <v>0</v>
      </c>
      <c r="L20" s="585">
        <v>0</v>
      </c>
      <c r="M20" s="585">
        <v>0</v>
      </c>
    </row>
    <row r="21" spans="1:13" ht="19.5" customHeight="1">
      <c r="A21" s="83">
        <v>1.4</v>
      </c>
      <c r="B21" s="18" t="s">
        <v>61</v>
      </c>
      <c r="C21" s="363">
        <f t="shared" si="1"/>
        <v>21388</v>
      </c>
      <c r="D21" s="585">
        <f>1406+286</f>
        <v>1692</v>
      </c>
      <c r="E21" s="522">
        <f t="shared" si="4"/>
        <v>19696</v>
      </c>
      <c r="F21" s="585">
        <v>0</v>
      </c>
      <c r="G21" s="585">
        <f>2700+16496+500</f>
        <v>19696</v>
      </c>
      <c r="H21" s="585">
        <v>0</v>
      </c>
      <c r="I21" s="585">
        <v>0</v>
      </c>
      <c r="J21" s="585">
        <v>0</v>
      </c>
      <c r="K21" s="585">
        <v>0</v>
      </c>
      <c r="L21" s="585">
        <v>0</v>
      </c>
      <c r="M21" s="585">
        <v>0</v>
      </c>
    </row>
    <row r="22" spans="1:13" ht="19.5" customHeight="1">
      <c r="A22" s="83">
        <v>1.5</v>
      </c>
      <c r="B22" s="18" t="s">
        <v>62</v>
      </c>
      <c r="C22" s="363">
        <f t="shared" si="1"/>
        <v>0</v>
      </c>
      <c r="D22" s="585">
        <v>0</v>
      </c>
      <c r="E22" s="522">
        <f t="shared" si="4"/>
        <v>0</v>
      </c>
      <c r="F22" s="585">
        <v>0</v>
      </c>
      <c r="G22" s="585">
        <v>0</v>
      </c>
      <c r="H22" s="585">
        <v>0</v>
      </c>
      <c r="I22" s="585">
        <v>0</v>
      </c>
      <c r="J22" s="585">
        <v>0</v>
      </c>
      <c r="K22" s="585">
        <v>0</v>
      </c>
      <c r="L22" s="585">
        <v>0</v>
      </c>
      <c r="M22" s="585">
        <v>0</v>
      </c>
    </row>
    <row r="23" spans="1:13" ht="19.5" customHeight="1">
      <c r="A23" s="83">
        <v>1.6</v>
      </c>
      <c r="B23" s="18" t="s">
        <v>63</v>
      </c>
      <c r="C23" s="363">
        <f t="shared" si="1"/>
        <v>11390145</v>
      </c>
      <c r="D23" s="585">
        <f>1476733+1070822+750161+55324+41905+414128+126231+487251+318735+10445</f>
        <v>4751735</v>
      </c>
      <c r="E23" s="522">
        <f t="shared" si="4"/>
        <v>3680313</v>
      </c>
      <c r="F23" s="585">
        <f>5400+4800+1580+495+33303+11330+126826+0</f>
        <v>183734</v>
      </c>
      <c r="G23" s="585">
        <f>165700+739542+175404+144696+114031+25777+27929+519741+231062+1352697</f>
        <v>3496579</v>
      </c>
      <c r="H23" s="585">
        <v>300</v>
      </c>
      <c r="I23" s="585">
        <f>100+82620+279839+771+26608+247430+22350+188351+30815+0</f>
        <v>878884</v>
      </c>
      <c r="J23" s="585">
        <f>87011+779838+32736+52149+168743+332897+410519</f>
        <v>1863893</v>
      </c>
      <c r="K23" s="585">
        <v>6099</v>
      </c>
      <c r="L23" s="585">
        <v>0</v>
      </c>
      <c r="M23" s="585">
        <v>208921</v>
      </c>
    </row>
    <row r="24" spans="1:13" ht="19.5" customHeight="1">
      <c r="A24" s="83">
        <v>1.7</v>
      </c>
      <c r="B24" s="18" t="s">
        <v>64</v>
      </c>
      <c r="C24" s="363">
        <f t="shared" si="1"/>
        <v>1270010</v>
      </c>
      <c r="D24" s="585">
        <f>478867+193738+270744+0</f>
        <v>943349</v>
      </c>
      <c r="E24" s="522">
        <f t="shared" si="4"/>
        <v>109379</v>
      </c>
      <c r="F24" s="585">
        <f>11130+24653+3500+0</f>
        <v>39283</v>
      </c>
      <c r="G24" s="585">
        <f>35742+34354+0</f>
        <v>70096</v>
      </c>
      <c r="H24" s="585">
        <v>0</v>
      </c>
      <c r="I24" s="585">
        <f>13058+5000+0</f>
        <v>18058</v>
      </c>
      <c r="J24" s="585">
        <f>3122+156888+39214+0</f>
        <v>199224</v>
      </c>
      <c r="K24" s="585">
        <v>0</v>
      </c>
      <c r="L24" s="585">
        <v>0</v>
      </c>
      <c r="M24" s="585">
        <v>0</v>
      </c>
    </row>
    <row r="25" spans="1:13" ht="19.5" customHeight="1">
      <c r="A25" s="85">
        <v>2</v>
      </c>
      <c r="B25" s="5" t="s">
        <v>65</v>
      </c>
      <c r="C25" s="363">
        <f>C26+C27+C28</f>
        <v>14255165</v>
      </c>
      <c r="D25" s="363">
        <f aca="true" t="shared" si="5" ref="D25:M25">D26+D27+D28</f>
        <v>4839879</v>
      </c>
      <c r="E25" s="363">
        <f t="shared" si="5"/>
        <v>8001558</v>
      </c>
      <c r="F25" s="363">
        <f t="shared" si="5"/>
        <v>606149</v>
      </c>
      <c r="G25" s="363">
        <f t="shared" si="5"/>
        <v>7395409</v>
      </c>
      <c r="H25" s="363">
        <f t="shared" si="5"/>
        <v>0</v>
      </c>
      <c r="I25" s="363">
        <f t="shared" si="5"/>
        <v>530865</v>
      </c>
      <c r="J25" s="363">
        <f t="shared" si="5"/>
        <v>882863</v>
      </c>
      <c r="K25" s="363">
        <f t="shared" si="5"/>
        <v>0</v>
      </c>
      <c r="L25" s="363">
        <f t="shared" si="5"/>
        <v>0</v>
      </c>
      <c r="M25" s="363">
        <f t="shared" si="5"/>
        <v>0</v>
      </c>
    </row>
    <row r="26" spans="1:13" ht="19.5" customHeight="1">
      <c r="A26" s="83">
        <v>2.1</v>
      </c>
      <c r="B26" s="18" t="s">
        <v>66</v>
      </c>
      <c r="C26" s="363">
        <f t="shared" si="1"/>
        <v>8517410</v>
      </c>
      <c r="D26" s="585">
        <f>92708+65027+61688+142645+25894+151682+155787+258176+115301+0+138366</f>
        <v>1207274</v>
      </c>
      <c r="E26" s="363">
        <f>F26+G26</f>
        <v>7088795</v>
      </c>
      <c r="F26" s="585">
        <f>65200+253295+51230+118973+32791+21590+19200+33870+0</f>
        <v>596149</v>
      </c>
      <c r="G26" s="585">
        <f>872090+1273099+790145+546807+371312+283887+148121+471904+1456581+0+278700</f>
        <v>6492646</v>
      </c>
      <c r="H26" s="585">
        <v>0</v>
      </c>
      <c r="I26" s="585">
        <f>3122+24984+7412+14132+8537+5575+38039+5186+0+4500</f>
        <v>111487</v>
      </c>
      <c r="J26" s="585">
        <f>94575+15279</f>
        <v>109854</v>
      </c>
      <c r="K26" s="585">
        <v>0</v>
      </c>
      <c r="L26" s="585">
        <v>0</v>
      </c>
      <c r="M26" s="585">
        <v>0</v>
      </c>
    </row>
    <row r="27" spans="1:13" ht="19.5" customHeight="1">
      <c r="A27" s="83">
        <v>2.2</v>
      </c>
      <c r="B27" s="18" t="s">
        <v>67</v>
      </c>
      <c r="C27" s="363">
        <f t="shared" si="1"/>
        <v>344522</v>
      </c>
      <c r="D27" s="587">
        <f>5452+72927+13420+0</f>
        <v>91799</v>
      </c>
      <c r="E27" s="363">
        <f>F27+G27</f>
        <v>0</v>
      </c>
      <c r="F27" s="587">
        <v>0</v>
      </c>
      <c r="G27" s="587">
        <v>0</v>
      </c>
      <c r="H27" s="587">
        <v>0</v>
      </c>
      <c r="I27" s="587">
        <v>252723</v>
      </c>
      <c r="J27" s="587">
        <v>0</v>
      </c>
      <c r="K27" s="587">
        <v>0</v>
      </c>
      <c r="L27" s="587">
        <v>0</v>
      </c>
      <c r="M27" s="587">
        <v>0</v>
      </c>
    </row>
    <row r="28" spans="1:13" ht="19.5" customHeight="1">
      <c r="A28" s="83">
        <v>2.3</v>
      </c>
      <c r="B28" s="17" t="s">
        <v>68</v>
      </c>
      <c r="C28" s="363">
        <f t="shared" si="1"/>
        <v>5393233</v>
      </c>
      <c r="D28" s="585">
        <f>1324820+1332302+316388+13848+47062+19727+241911+222825+0+21923</f>
        <v>3540806</v>
      </c>
      <c r="E28" s="363">
        <f>F28+G28</f>
        <v>912763</v>
      </c>
      <c r="F28" s="585">
        <v>10000</v>
      </c>
      <c r="G28" s="585">
        <f>150323+194209+2784+201+5500+13330+536416</f>
        <v>902763</v>
      </c>
      <c r="H28" s="585">
        <v>0</v>
      </c>
      <c r="I28" s="585">
        <f>10206+74278+41965+0+40206</f>
        <v>166655</v>
      </c>
      <c r="J28" s="585">
        <f>241700+336681+122395+72233+0</f>
        <v>773009</v>
      </c>
      <c r="K28" s="585">
        <v>0</v>
      </c>
      <c r="L28" s="585">
        <v>0</v>
      </c>
      <c r="M28" s="585">
        <v>0</v>
      </c>
    </row>
    <row r="29" spans="1:13" ht="25.5" customHeight="1">
      <c r="A29" s="393" t="s">
        <v>110</v>
      </c>
      <c r="B29" s="417" t="s">
        <v>314</v>
      </c>
      <c r="C29" s="406">
        <f>(C18+C19+C20+C21+C22)*100/C17</f>
        <v>61.69240460761505</v>
      </c>
      <c r="D29" s="406">
        <f aca="true" t="shared" si="6" ref="D29:M29">(D18+D19+D20+D21+D22)*100/D17</f>
        <v>54.05166372477942</v>
      </c>
      <c r="E29" s="406">
        <f t="shared" si="6"/>
        <v>43.66701916041875</v>
      </c>
      <c r="F29" s="406">
        <f t="shared" si="6"/>
        <v>20.132004927801972</v>
      </c>
      <c r="G29" s="406">
        <f t="shared" si="6"/>
        <v>44.68619621921212</v>
      </c>
      <c r="H29" s="406">
        <f t="shared" si="6"/>
        <v>92.3076923076923</v>
      </c>
      <c r="I29" s="406">
        <f t="shared" si="6"/>
        <v>51.13103287454192</v>
      </c>
      <c r="J29" s="406">
        <f t="shared" si="6"/>
        <v>82.6106763886269</v>
      </c>
      <c r="K29" s="406">
        <f t="shared" si="6"/>
        <v>57.46861924686193</v>
      </c>
      <c r="L29" s="406" t="e">
        <f t="shared" si="6"/>
        <v>#DIV/0!</v>
      </c>
      <c r="M29" s="406">
        <f t="shared" si="6"/>
        <v>0</v>
      </c>
    </row>
    <row r="30" spans="1:13" ht="15.75" customHeight="1" hidden="1">
      <c r="A30" s="176" t="s">
        <v>228</v>
      </c>
      <c r="B30" s="82"/>
      <c r="C30" s="82"/>
      <c r="D30" s="82"/>
      <c r="E30" s="82"/>
      <c r="F30" s="82"/>
      <c r="G30" s="82"/>
      <c r="H30" s="82"/>
      <c r="K30" s="177"/>
      <c r="L30" s="177"/>
      <c r="M30" s="177"/>
    </row>
    <row r="31" spans="1:13" s="173" customFormat="1" ht="17.25" customHeight="1" hidden="1">
      <c r="A31" s="178"/>
      <c r="B31" s="178" t="s">
        <v>224</v>
      </c>
      <c r="C31" s="179"/>
      <c r="D31" s="179"/>
      <c r="E31" s="179"/>
      <c r="F31" s="179"/>
      <c r="G31" s="179"/>
      <c r="H31" s="179"/>
      <c r="J31" s="1203"/>
      <c r="K31" s="1203"/>
      <c r="L31" s="1203"/>
      <c r="M31" s="1203"/>
    </row>
    <row r="32" ht="15.75" hidden="1">
      <c r="B32" s="178" t="s">
        <v>229</v>
      </c>
    </row>
    <row r="33" spans="3:13" ht="15.75">
      <c r="C33" s="398"/>
      <c r="D33" s="398"/>
      <c r="E33" s="398"/>
      <c r="F33" s="398"/>
      <c r="G33" s="398"/>
      <c r="H33" s="398"/>
      <c r="I33" s="398"/>
      <c r="J33" s="398"/>
      <c r="K33" s="398"/>
      <c r="L33" s="1190" t="s">
        <v>107</v>
      </c>
      <c r="M33" s="1190"/>
    </row>
    <row r="35" spans="3:13" ht="15.75">
      <c r="C35" s="398">
        <f>C25+C17-C13</f>
        <v>0</v>
      </c>
      <c r="D35" s="398">
        <f aca="true" t="shared" si="7" ref="D35:M35">D25+D17-D13</f>
        <v>0</v>
      </c>
      <c r="E35" s="398">
        <f t="shared" si="7"/>
        <v>0</v>
      </c>
      <c r="F35" s="398">
        <f t="shared" si="7"/>
        <v>0</v>
      </c>
      <c r="G35" s="398">
        <f t="shared" si="7"/>
        <v>0</v>
      </c>
      <c r="H35" s="398">
        <f t="shared" si="7"/>
        <v>0</v>
      </c>
      <c r="I35" s="398">
        <f t="shared" si="7"/>
        <v>0</v>
      </c>
      <c r="J35" s="398">
        <f t="shared" si="7"/>
        <v>0</v>
      </c>
      <c r="K35" s="398">
        <f t="shared" si="7"/>
        <v>0</v>
      </c>
      <c r="L35" s="398">
        <f t="shared" si="7"/>
        <v>0</v>
      </c>
      <c r="M35" s="398">
        <f t="shared" si="7"/>
        <v>0</v>
      </c>
    </row>
  </sheetData>
  <sheetProtection/>
  <mergeCells count="30">
    <mergeCell ref="A12:B12"/>
    <mergeCell ref="D8:D11"/>
    <mergeCell ref="A7:B11"/>
    <mergeCell ref="C7:C11"/>
    <mergeCell ref="D7:M7"/>
    <mergeCell ref="E10:E11"/>
    <mergeCell ref="F10:G10"/>
    <mergeCell ref="H8:H11"/>
    <mergeCell ref="I8:I11"/>
    <mergeCell ref="K8:K11"/>
    <mergeCell ref="E8:G9"/>
    <mergeCell ref="A2:B2"/>
    <mergeCell ref="A3:C3"/>
    <mergeCell ref="J2:M2"/>
    <mergeCell ref="J3:M3"/>
    <mergeCell ref="D2:I2"/>
    <mergeCell ref="D3:I3"/>
    <mergeCell ref="J4:M4"/>
    <mergeCell ref="A5:B5"/>
    <mergeCell ref="A4:B4"/>
    <mergeCell ref="D4:I4"/>
    <mergeCell ref="C5:I5"/>
    <mergeCell ref="J5:M5"/>
    <mergeCell ref="F6:H6"/>
    <mergeCell ref="L8:L11"/>
    <mergeCell ref="J8:J11"/>
    <mergeCell ref="J6:M6"/>
    <mergeCell ref="L33:M33"/>
    <mergeCell ref="J31:M31"/>
    <mergeCell ref="M8:M11"/>
  </mergeCells>
  <printOptions/>
  <pageMargins left="0" right="0" top="0.2" bottom="0" header="0.5" footer="0.5"/>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sheetPr>
    <tabColor indexed="51"/>
  </sheetPr>
  <dimension ref="A2:E44"/>
  <sheetViews>
    <sheetView zoomScale="90" zoomScaleNormal="90" zoomScalePageLayoutView="0" workbookViewId="0" topLeftCell="A4">
      <selection activeCell="C24" sqref="C24"/>
    </sheetView>
  </sheetViews>
  <sheetFormatPr defaultColWidth="9.00390625" defaultRowHeight="15.75"/>
  <cols>
    <col min="1" max="1" width="5.50390625" style="76" customWidth="1"/>
    <col min="2" max="2" width="51.75390625" style="76" customWidth="1"/>
    <col min="3" max="3" width="28.625" style="76" customWidth="1"/>
    <col min="4" max="4" width="40.50390625" style="76" customWidth="1"/>
    <col min="5" max="5" width="16.00390625" style="76" customWidth="1"/>
    <col min="6" max="16384" width="9.00390625" style="76" customWidth="1"/>
  </cols>
  <sheetData>
    <row r="2" spans="1:4" s="79" customFormat="1" ht="18" customHeight="1">
      <c r="A2" s="1068" t="s">
        <v>312</v>
      </c>
      <c r="B2" s="1068"/>
      <c r="C2" s="1068"/>
      <c r="D2" s="1068"/>
    </row>
    <row r="3" spans="1:4" s="79" customFormat="1" ht="16.5" customHeight="1">
      <c r="A3" s="986" t="s">
        <v>311</v>
      </c>
      <c r="B3" s="986"/>
      <c r="C3" s="986"/>
      <c r="D3" s="986"/>
    </row>
    <row r="4" spans="1:4" ht="15" customHeight="1">
      <c r="A4" s="1178" t="s">
        <v>274</v>
      </c>
      <c r="B4" s="1179"/>
      <c r="C4" s="96" t="s">
        <v>17</v>
      </c>
      <c r="D4" s="96" t="s">
        <v>18</v>
      </c>
    </row>
    <row r="5" spans="1:4" ht="12.75" customHeight="1">
      <c r="A5" s="1206" t="s">
        <v>105</v>
      </c>
      <c r="B5" s="1207"/>
      <c r="C5" s="408">
        <v>1</v>
      </c>
      <c r="D5" s="408">
        <v>2</v>
      </c>
    </row>
    <row r="6" spans="1:5" ht="18.75" customHeight="1">
      <c r="A6" s="516">
        <v>1</v>
      </c>
      <c r="B6" s="517" t="s">
        <v>28</v>
      </c>
      <c r="C6" s="518">
        <f>'Về việc theo đơn Mau 02.THA1'!C25</f>
        <v>147</v>
      </c>
      <c r="D6" s="97"/>
      <c r="E6" s="398">
        <f>C11+C10+C9+C8+C7-C6</f>
        <v>0</v>
      </c>
    </row>
    <row r="7" spans="1:4" ht="13.5" customHeight="1">
      <c r="A7" s="70">
        <v>1.1</v>
      </c>
      <c r="B7" s="98" t="s">
        <v>29</v>
      </c>
      <c r="C7" s="404">
        <v>0</v>
      </c>
      <c r="D7" s="97"/>
    </row>
    <row r="8" spans="1:4" ht="13.5" customHeight="1">
      <c r="A8" s="70">
        <v>1.2</v>
      </c>
      <c r="B8" s="98" t="s">
        <v>45</v>
      </c>
      <c r="C8" s="402">
        <v>138</v>
      </c>
      <c r="D8" s="97"/>
    </row>
    <row r="9" spans="1:4" ht="13.5" customHeight="1">
      <c r="A9" s="70">
        <v>1.3</v>
      </c>
      <c r="B9" s="98" t="s">
        <v>31</v>
      </c>
      <c r="C9" s="402">
        <v>2</v>
      </c>
      <c r="D9" s="97"/>
    </row>
    <row r="10" spans="1:4" ht="13.5" customHeight="1">
      <c r="A10" s="70">
        <v>1.4</v>
      </c>
      <c r="B10" s="98" t="s">
        <v>32</v>
      </c>
      <c r="C10" s="402">
        <v>0</v>
      </c>
      <c r="D10" s="97"/>
    </row>
    <row r="11" spans="1:4" ht="13.5" customHeight="1">
      <c r="A11" s="70">
        <v>1.5</v>
      </c>
      <c r="B11" s="98" t="s">
        <v>47</v>
      </c>
      <c r="C11" s="402">
        <v>7</v>
      </c>
      <c r="D11" s="97"/>
    </row>
    <row r="12" spans="1:5" ht="18.75" customHeight="1">
      <c r="A12" s="516">
        <v>2</v>
      </c>
      <c r="B12" s="517" t="s">
        <v>26</v>
      </c>
      <c r="C12" s="518">
        <f>'Về việc theo đơn Mau 02.THA1'!C26</f>
        <v>11</v>
      </c>
      <c r="D12" s="97"/>
      <c r="E12" s="398">
        <f>C14+C13-C12</f>
        <v>0</v>
      </c>
    </row>
    <row r="13" spans="1:4" ht="13.5" customHeight="1">
      <c r="A13" s="70">
        <v>2.1</v>
      </c>
      <c r="B13" s="98" t="s">
        <v>33</v>
      </c>
      <c r="C13" s="402">
        <v>11</v>
      </c>
      <c r="D13" s="97"/>
    </row>
    <row r="14" spans="1:4" ht="13.5" customHeight="1">
      <c r="A14" s="70">
        <v>2.2</v>
      </c>
      <c r="B14" s="98" t="s">
        <v>34</v>
      </c>
      <c r="C14" s="402">
        <v>0</v>
      </c>
      <c r="D14" s="97"/>
    </row>
    <row r="15" spans="1:5" ht="18.75" customHeight="1">
      <c r="A15" s="516">
        <v>3</v>
      </c>
      <c r="B15" s="517" t="s">
        <v>25</v>
      </c>
      <c r="C15" s="518">
        <f>'Về việc theo đơn Mau 02.THA1'!C19</f>
        <v>235</v>
      </c>
      <c r="D15" s="97"/>
      <c r="E15" s="398">
        <f>C22+C21+C20+C19+C18+C17+C16-C15</f>
        <v>0</v>
      </c>
    </row>
    <row r="16" spans="1:4" ht="13.5" customHeight="1">
      <c r="A16" s="70">
        <v>3.1</v>
      </c>
      <c r="B16" s="98" t="s">
        <v>35</v>
      </c>
      <c r="C16" s="402">
        <v>0</v>
      </c>
      <c r="D16" s="97"/>
    </row>
    <row r="17" spans="1:4" ht="13.5" customHeight="1">
      <c r="A17" s="70">
        <v>3.2</v>
      </c>
      <c r="B17" s="98" t="s">
        <v>48</v>
      </c>
      <c r="C17" s="402">
        <v>1</v>
      </c>
      <c r="D17" s="97"/>
    </row>
    <row r="18" spans="1:4" ht="13.5" customHeight="1">
      <c r="A18" s="70">
        <v>3.3</v>
      </c>
      <c r="B18" s="98" t="s">
        <v>49</v>
      </c>
      <c r="C18" s="402">
        <v>221</v>
      </c>
      <c r="D18" s="97"/>
    </row>
    <row r="19" spans="1:4" ht="13.5" customHeight="1">
      <c r="A19" s="70">
        <v>3.4</v>
      </c>
      <c r="B19" s="98" t="s">
        <v>37</v>
      </c>
      <c r="C19" s="402">
        <v>13</v>
      </c>
      <c r="D19" s="97"/>
    </row>
    <row r="20" spans="1:4" ht="13.5" customHeight="1">
      <c r="A20" s="70">
        <v>3.5</v>
      </c>
      <c r="B20" s="98" t="s">
        <v>38</v>
      </c>
      <c r="C20" s="402">
        <v>0</v>
      </c>
      <c r="D20" s="97"/>
    </row>
    <row r="21" spans="1:4" ht="13.5" customHeight="1">
      <c r="A21" s="70">
        <v>3.6</v>
      </c>
      <c r="B21" s="98" t="s">
        <v>40</v>
      </c>
      <c r="C21" s="402">
        <v>0</v>
      </c>
      <c r="D21" s="97"/>
    </row>
    <row r="22" spans="1:4" ht="13.5" customHeight="1">
      <c r="A22" s="70">
        <v>3.7</v>
      </c>
      <c r="B22" s="98" t="s">
        <v>50</v>
      </c>
      <c r="C22" s="402">
        <v>0</v>
      </c>
      <c r="D22" s="97"/>
    </row>
    <row r="23" spans="1:5" ht="18" customHeight="1">
      <c r="A23" s="516">
        <v>4</v>
      </c>
      <c r="B23" s="519" t="s">
        <v>44</v>
      </c>
      <c r="C23" s="520">
        <f>'Về việc theo đơn Mau 02.THA1'!C21</f>
        <v>352</v>
      </c>
      <c r="D23" s="99"/>
      <c r="E23" s="398">
        <f>C27+C26+C25+C24-C23</f>
        <v>0</v>
      </c>
    </row>
    <row r="24" spans="1:4" ht="13.5" customHeight="1">
      <c r="A24" s="70">
        <v>4.1</v>
      </c>
      <c r="B24" s="98" t="s">
        <v>51</v>
      </c>
      <c r="C24" s="402">
        <v>347</v>
      </c>
      <c r="D24" s="97"/>
    </row>
    <row r="25" spans="1:4" ht="13.5" customHeight="1">
      <c r="A25" s="70">
        <v>4.2</v>
      </c>
      <c r="B25" s="98" t="s">
        <v>52</v>
      </c>
      <c r="C25" s="402">
        <v>5</v>
      </c>
      <c r="D25" s="97"/>
    </row>
    <row r="26" spans="1:4" ht="13.5" customHeight="1">
      <c r="A26" s="70">
        <v>4.3</v>
      </c>
      <c r="B26" s="98" t="s">
        <v>53</v>
      </c>
      <c r="C26" s="402">
        <v>0</v>
      </c>
      <c r="D26" s="97"/>
    </row>
    <row r="27" spans="1:4" ht="13.5" customHeight="1">
      <c r="A27" s="70">
        <v>4.4</v>
      </c>
      <c r="B27" s="98" t="s">
        <v>209</v>
      </c>
      <c r="C27" s="402">
        <v>0</v>
      </c>
      <c r="D27" s="97"/>
    </row>
    <row r="28" spans="1:5" ht="18.75" customHeight="1">
      <c r="A28" s="516">
        <v>5</v>
      </c>
      <c r="B28" s="517" t="s">
        <v>27</v>
      </c>
      <c r="C28" s="518">
        <f>'Về việc theo đơn Mau 02.THA1'!C27</f>
        <v>554</v>
      </c>
      <c r="D28" s="97"/>
      <c r="E28" s="398">
        <f>C31+C30+C29-C28</f>
        <v>0</v>
      </c>
    </row>
    <row r="29" spans="1:4" ht="13.5" customHeight="1">
      <c r="A29" s="70">
        <v>5.1</v>
      </c>
      <c r="B29" s="98" t="s">
        <v>41</v>
      </c>
      <c r="C29" s="402">
        <v>0</v>
      </c>
      <c r="D29" s="97"/>
    </row>
    <row r="30" spans="1:4" ht="13.5" customHeight="1">
      <c r="A30" s="70">
        <v>5.2</v>
      </c>
      <c r="B30" s="98" t="s">
        <v>42</v>
      </c>
      <c r="C30" s="402">
        <v>345</v>
      </c>
      <c r="D30" s="97"/>
    </row>
    <row r="31" spans="1:4" ht="15.75" customHeight="1">
      <c r="A31" s="70">
        <v>5.3</v>
      </c>
      <c r="B31" s="98" t="s">
        <v>119</v>
      </c>
      <c r="C31" s="402">
        <v>209</v>
      </c>
      <c r="D31" s="97"/>
    </row>
    <row r="32" spans="2:4" ht="18" customHeight="1">
      <c r="B32" s="366" t="s">
        <v>387</v>
      </c>
      <c r="C32" s="100"/>
      <c r="D32" s="994" t="s">
        <v>385</v>
      </c>
    </row>
    <row r="33" spans="2:4" ht="15" customHeight="1">
      <c r="B33" s="73" t="s">
        <v>43</v>
      </c>
      <c r="C33" s="100"/>
      <c r="D33" s="995"/>
    </row>
    <row r="34" spans="1:5" s="102" customFormat="1" ht="16.5">
      <c r="A34" s="101"/>
      <c r="B34" s="75"/>
      <c r="D34" s="73" t="s">
        <v>656</v>
      </c>
      <c r="E34" s="103"/>
    </row>
    <row r="35" spans="3:4" ht="15.75">
      <c r="C35" s="104"/>
      <c r="D35" s="104"/>
    </row>
    <row r="36" spans="3:4" ht="15.75">
      <c r="C36" s="104"/>
      <c r="D36" s="104"/>
    </row>
    <row r="37" spans="3:4" ht="15.75">
      <c r="C37" s="104"/>
      <c r="D37" s="104"/>
    </row>
    <row r="38" spans="1:3" ht="15.75" customHeight="1" hidden="1">
      <c r="A38" s="1208" t="s">
        <v>188</v>
      </c>
      <c r="B38" s="1208"/>
      <c r="C38" s="105"/>
    </row>
    <row r="39" spans="2:4" ht="15.75" customHeight="1" hidden="1">
      <c r="B39" s="1204" t="s">
        <v>206</v>
      </c>
      <c r="C39" s="1204"/>
      <c r="D39" s="1204"/>
    </row>
    <row r="40" spans="2:4" ht="15.75" customHeight="1" hidden="1">
      <c r="B40" s="1205" t="s">
        <v>223</v>
      </c>
      <c r="C40" s="1205"/>
      <c r="D40" s="1205"/>
    </row>
    <row r="41" spans="2:3" ht="15.75" customHeight="1" hidden="1">
      <c r="B41" s="1204" t="s">
        <v>207</v>
      </c>
      <c r="C41" s="1204"/>
    </row>
    <row r="43" spans="2:4" ht="16.5">
      <c r="B43" s="73" t="s">
        <v>390</v>
      </c>
      <c r="C43" s="150"/>
      <c r="D43" s="73" t="s">
        <v>2</v>
      </c>
    </row>
    <row r="44" ht="15.75">
      <c r="D44" s="107" t="s">
        <v>108</v>
      </c>
    </row>
  </sheetData>
  <sheetProtection/>
  <mergeCells count="9">
    <mergeCell ref="B39:D39"/>
    <mergeCell ref="B40:D40"/>
    <mergeCell ref="B41:C41"/>
    <mergeCell ref="A2:D2"/>
    <mergeCell ref="A3:D3"/>
    <mergeCell ref="A5:B5"/>
    <mergeCell ref="A38:B38"/>
    <mergeCell ref="A4:B4"/>
    <mergeCell ref="D32:D33"/>
  </mergeCells>
  <printOptions/>
  <pageMargins left="0.76" right="0.25" top="0" bottom="0" header="0.5" footer="0.22"/>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sheetPr>
    <tabColor indexed="51"/>
  </sheetPr>
  <dimension ref="A2:Q38"/>
  <sheetViews>
    <sheetView zoomScalePageLayoutView="0" workbookViewId="0" topLeftCell="A10">
      <selection activeCell="D21" sqref="D21"/>
    </sheetView>
  </sheetViews>
  <sheetFormatPr defaultColWidth="9.00390625" defaultRowHeight="15.75"/>
  <cols>
    <col min="1" max="1" width="3.875" style="76" customWidth="1"/>
    <col min="2" max="2" width="30.00390625" style="76" customWidth="1"/>
    <col min="3" max="3" width="13.00390625" style="76" customWidth="1"/>
    <col min="4" max="4" width="10.25390625" style="76" customWidth="1"/>
    <col min="5" max="5" width="9.00390625" style="76" customWidth="1"/>
    <col min="6" max="6" width="8.25390625" style="76" customWidth="1"/>
    <col min="7" max="13" width="8.50390625" style="76" customWidth="1"/>
    <col min="14" max="16" width="11.50390625" style="76" customWidth="1"/>
    <col min="17" max="17" width="15.75390625" style="76" customWidth="1"/>
    <col min="18" max="18" width="15.375" style="76" customWidth="1"/>
    <col min="19" max="16384" width="9.00390625" style="76" customWidth="1"/>
  </cols>
  <sheetData>
    <row r="2" spans="1:13" ht="16.5" customHeight="1">
      <c r="A2" s="1115" t="s">
        <v>136</v>
      </c>
      <c r="B2" s="1212"/>
      <c r="C2" s="987" t="s">
        <v>326</v>
      </c>
      <c r="D2" s="987"/>
      <c r="E2" s="987"/>
      <c r="F2" s="987"/>
      <c r="G2" s="987"/>
      <c r="H2" s="987"/>
      <c r="I2" s="987"/>
      <c r="J2" s="996" t="s">
        <v>381</v>
      </c>
      <c r="K2" s="996"/>
      <c r="L2" s="996"/>
      <c r="M2" s="996"/>
    </row>
    <row r="3" spans="1:13" ht="16.5" customHeight="1">
      <c r="A3" s="725" t="s">
        <v>367</v>
      </c>
      <c r="B3" s="726"/>
      <c r="C3" s="726"/>
      <c r="D3" s="189" t="s">
        <v>111</v>
      </c>
      <c r="E3" s="189"/>
      <c r="F3" s="189"/>
      <c r="G3" s="189"/>
      <c r="H3" s="189"/>
      <c r="I3" s="77"/>
      <c r="J3" s="1172" t="s">
        <v>388</v>
      </c>
      <c r="K3" s="1172"/>
      <c r="L3" s="1172"/>
      <c r="M3" s="1172"/>
    </row>
    <row r="4" spans="1:13" ht="16.5" customHeight="1">
      <c r="A4" s="1081" t="s">
        <v>368</v>
      </c>
      <c r="B4" s="1081"/>
      <c r="C4" s="997" t="s">
        <v>0</v>
      </c>
      <c r="D4" s="997"/>
      <c r="E4" s="997"/>
      <c r="F4" s="997"/>
      <c r="G4" s="997"/>
      <c r="H4" s="997"/>
      <c r="I4" s="997"/>
      <c r="J4" s="1081" t="s">
        <v>382</v>
      </c>
      <c r="K4" s="1081"/>
      <c r="L4" s="1081"/>
      <c r="M4" s="1081"/>
    </row>
    <row r="5" spans="1:13" ht="16.5" customHeight="1">
      <c r="A5" s="1115" t="s">
        <v>114</v>
      </c>
      <c r="B5" s="1115"/>
      <c r="C5" s="980" t="s">
        <v>1</v>
      </c>
      <c r="D5" s="980"/>
      <c r="E5" s="980"/>
      <c r="F5" s="980"/>
      <c r="G5" s="980"/>
      <c r="H5" s="980"/>
      <c r="I5" s="980"/>
      <c r="J5" s="1172" t="s">
        <v>391</v>
      </c>
      <c r="K5" s="1172"/>
      <c r="L5" s="1172"/>
      <c r="M5" s="1172"/>
    </row>
    <row r="6" spans="2:14" ht="16.5" customHeight="1">
      <c r="B6" s="81"/>
      <c r="C6" s="80"/>
      <c r="D6" s="80"/>
      <c r="E6" s="80"/>
      <c r="F6" s="80"/>
      <c r="G6" s="80"/>
      <c r="H6" s="12"/>
      <c r="I6" s="12"/>
      <c r="J6" s="1211" t="s">
        <v>373</v>
      </c>
      <c r="K6" s="1211"/>
      <c r="L6" s="1211"/>
      <c r="M6" s="1211"/>
      <c r="N6" s="13"/>
    </row>
    <row r="7" spans="1:13" s="82" customFormat="1" ht="15.75" customHeight="1">
      <c r="A7" s="1064" t="str">
        <f>'Về việc chủ động Mau 01.THA'!$A$7</f>
        <v>Tên chỉ tiêu</v>
      </c>
      <c r="B7" s="1065"/>
      <c r="C7" s="1167" t="s">
        <v>265</v>
      </c>
      <c r="D7" s="1183" t="s">
        <v>106</v>
      </c>
      <c r="E7" s="1184"/>
      <c r="F7" s="1184"/>
      <c r="G7" s="1184"/>
      <c r="H7" s="1184"/>
      <c r="I7" s="1184"/>
      <c r="J7" s="1184"/>
      <c r="K7" s="1184"/>
      <c r="L7" s="1184"/>
      <c r="M7" s="1185"/>
    </row>
    <row r="8" spans="1:13" s="82" customFormat="1" ht="21" customHeight="1">
      <c r="A8" s="1066"/>
      <c r="B8" s="1067"/>
      <c r="C8" s="1167"/>
      <c r="D8" s="1169" t="s">
        <v>193</v>
      </c>
      <c r="E8" s="1064" t="s">
        <v>194</v>
      </c>
      <c r="F8" s="1166"/>
      <c r="G8" s="1065"/>
      <c r="H8" s="1169" t="s">
        <v>200</v>
      </c>
      <c r="I8" s="1169" t="s">
        <v>642</v>
      </c>
      <c r="J8" s="1169" t="s">
        <v>264</v>
      </c>
      <c r="K8" s="1169" t="s">
        <v>197</v>
      </c>
      <c r="L8" s="1170" t="s">
        <v>198</v>
      </c>
      <c r="M8" s="1170" t="s">
        <v>208</v>
      </c>
    </row>
    <row r="9" spans="1:13" s="82" customFormat="1" ht="15" customHeight="1">
      <c r="A9" s="1066"/>
      <c r="B9" s="1067"/>
      <c r="C9" s="1167"/>
      <c r="D9" s="1170"/>
      <c r="E9" s="1154"/>
      <c r="F9" s="1186"/>
      <c r="G9" s="1155"/>
      <c r="H9" s="1170"/>
      <c r="I9" s="1170"/>
      <c r="J9" s="1170"/>
      <c r="K9" s="1170"/>
      <c r="L9" s="1170"/>
      <c r="M9" s="1170"/>
    </row>
    <row r="10" spans="1:13" s="82" customFormat="1" ht="15" customHeight="1">
      <c r="A10" s="1066"/>
      <c r="B10" s="1067"/>
      <c r="C10" s="1167"/>
      <c r="D10" s="1170"/>
      <c r="E10" s="1169" t="s">
        <v>146</v>
      </c>
      <c r="F10" s="1071" t="s">
        <v>106</v>
      </c>
      <c r="G10" s="1073"/>
      <c r="H10" s="1170"/>
      <c r="I10" s="1170"/>
      <c r="J10" s="1170"/>
      <c r="K10" s="1170"/>
      <c r="L10" s="1170"/>
      <c r="M10" s="1170"/>
    </row>
    <row r="11" spans="1:13" s="82" customFormat="1" ht="28.5" customHeight="1">
      <c r="A11" s="1154"/>
      <c r="B11" s="1155"/>
      <c r="C11" s="1167"/>
      <c r="D11" s="1171"/>
      <c r="E11" s="1171"/>
      <c r="F11" s="70" t="s">
        <v>195</v>
      </c>
      <c r="G11" s="70" t="s">
        <v>196</v>
      </c>
      <c r="H11" s="1171"/>
      <c r="I11" s="1171"/>
      <c r="J11" s="1171"/>
      <c r="K11" s="1171"/>
      <c r="L11" s="1171"/>
      <c r="M11" s="1171"/>
    </row>
    <row r="12" spans="1:13" s="82" customFormat="1" ht="13.5" customHeight="1">
      <c r="A12" s="1181" t="s">
        <v>105</v>
      </c>
      <c r="B12" s="1182"/>
      <c r="C12" s="380">
        <v>1</v>
      </c>
      <c r="D12" s="380">
        <v>2</v>
      </c>
      <c r="E12" s="380">
        <v>3</v>
      </c>
      <c r="F12" s="380">
        <v>4</v>
      </c>
      <c r="G12" s="380">
        <v>5</v>
      </c>
      <c r="H12" s="380">
        <v>6</v>
      </c>
      <c r="I12" s="380">
        <v>7</v>
      </c>
      <c r="J12" s="380">
        <v>8</v>
      </c>
      <c r="K12" s="380">
        <v>9</v>
      </c>
      <c r="L12" s="380">
        <v>10</v>
      </c>
      <c r="M12" s="380">
        <v>11</v>
      </c>
    </row>
    <row r="13" spans="1:15" s="82" customFormat="1" ht="18.75" customHeight="1">
      <c r="A13" s="20" t="s">
        <v>14</v>
      </c>
      <c r="B13" s="11" t="s">
        <v>201</v>
      </c>
      <c r="C13" s="513">
        <f>D13+E13+H13+I13+J13+K13+L13+M13</f>
        <v>4110</v>
      </c>
      <c r="D13" s="513">
        <f>D15+D14</f>
        <v>2889</v>
      </c>
      <c r="E13" s="513">
        <f aca="true" t="shared" si="0" ref="E13:M13">E15+E14</f>
        <v>540</v>
      </c>
      <c r="F13" s="513">
        <f t="shared" si="0"/>
        <v>0</v>
      </c>
      <c r="G13" s="513">
        <f t="shared" si="0"/>
        <v>540</v>
      </c>
      <c r="H13" s="513">
        <f t="shared" si="0"/>
        <v>1</v>
      </c>
      <c r="I13" s="513">
        <f t="shared" si="0"/>
        <v>555</v>
      </c>
      <c r="J13" s="513">
        <f t="shared" si="0"/>
        <v>115</v>
      </c>
      <c r="K13" s="513">
        <f t="shared" si="0"/>
        <v>8</v>
      </c>
      <c r="L13" s="513">
        <f t="shared" si="0"/>
        <v>2</v>
      </c>
      <c r="M13" s="513">
        <f t="shared" si="0"/>
        <v>0</v>
      </c>
      <c r="N13" s="428">
        <f>C13+'Về việc chủ động Mau 01.THA'!C12</f>
        <v>13826</v>
      </c>
      <c r="O13" s="437"/>
    </row>
    <row r="14" spans="1:15" ht="20.25" customHeight="1">
      <c r="A14" s="83">
        <v>1</v>
      </c>
      <c r="B14" s="18" t="s">
        <v>149</v>
      </c>
      <c r="C14" s="513">
        <f aca="true" t="shared" si="1" ref="C14:C27">D14+E14+H14+I14+J14+K14+L14+M14</f>
        <v>2838</v>
      </c>
      <c r="D14" s="399">
        <f>92+549+180+424+68+224+80+222+66+105+50+0</f>
        <v>2060</v>
      </c>
      <c r="E14" s="514">
        <f>F14+G14</f>
        <v>289</v>
      </c>
      <c r="F14" s="399">
        <v>0</v>
      </c>
      <c r="G14" s="399">
        <f>41+86+15+25+3+11+8+80+4+13+3</f>
        <v>289</v>
      </c>
      <c r="H14" s="399">
        <v>1</v>
      </c>
      <c r="I14" s="399">
        <f>5+17+22+111+12+60+23+27+16+102</f>
        <v>395</v>
      </c>
      <c r="J14" s="399">
        <f>8+1+20+6+5+4+23+24</f>
        <v>91</v>
      </c>
      <c r="K14" s="399">
        <v>0</v>
      </c>
      <c r="L14" s="399">
        <v>2</v>
      </c>
      <c r="M14" s="400">
        <v>0</v>
      </c>
      <c r="N14" s="435">
        <f>C14+'Về việc chủ động Mau 01.THA'!C13</f>
        <v>6037</v>
      </c>
      <c r="O14" s="398"/>
    </row>
    <row r="15" spans="1:15" ht="20.25" customHeight="1">
      <c r="A15" s="83">
        <v>2</v>
      </c>
      <c r="B15" s="18" t="s">
        <v>191</v>
      </c>
      <c r="C15" s="513">
        <f t="shared" si="1"/>
        <v>1272</v>
      </c>
      <c r="D15" s="579">
        <f>39+84+146+170+83+139+56+48+20+31+3+0+10</f>
        <v>829</v>
      </c>
      <c r="E15" s="514">
        <f>F15+G15</f>
        <v>251</v>
      </c>
      <c r="F15" s="579">
        <v>0</v>
      </c>
      <c r="G15" s="579">
        <f>27+21+13+65+32+28+30+18+10+4+3</f>
        <v>251</v>
      </c>
      <c r="H15" s="579">
        <v>0</v>
      </c>
      <c r="I15" s="579">
        <f>4+29+14+11+16+28+9+39+5+1+4</f>
        <v>160</v>
      </c>
      <c r="J15" s="579">
        <f>1+10+5+2+2+4+0+0+0</f>
        <v>24</v>
      </c>
      <c r="K15" s="579">
        <v>8</v>
      </c>
      <c r="L15" s="579">
        <v>0</v>
      </c>
      <c r="M15" s="579"/>
      <c r="N15" s="435">
        <f>C15+'Về việc chủ động Mau 01.THA'!C14</f>
        <v>7789</v>
      </c>
      <c r="O15" s="398"/>
    </row>
    <row r="16" spans="1:14" ht="20.25" customHeight="1">
      <c r="A16" s="85" t="s">
        <v>15</v>
      </c>
      <c r="B16" s="5" t="s">
        <v>167</v>
      </c>
      <c r="C16" s="513">
        <f t="shared" si="1"/>
        <v>4110</v>
      </c>
      <c r="D16" s="513">
        <f>D24+D17</f>
        <v>2889</v>
      </c>
      <c r="E16" s="513">
        <f aca="true" t="shared" si="2" ref="E16:M16">E24+E17</f>
        <v>540</v>
      </c>
      <c r="F16" s="513">
        <f t="shared" si="2"/>
        <v>0</v>
      </c>
      <c r="G16" s="513">
        <f t="shared" si="2"/>
        <v>540</v>
      </c>
      <c r="H16" s="513">
        <f t="shared" si="2"/>
        <v>1</v>
      </c>
      <c r="I16" s="513">
        <f t="shared" si="2"/>
        <v>555</v>
      </c>
      <c r="J16" s="513">
        <f t="shared" si="2"/>
        <v>115</v>
      </c>
      <c r="K16" s="513">
        <f t="shared" si="2"/>
        <v>8</v>
      </c>
      <c r="L16" s="513">
        <f t="shared" si="2"/>
        <v>2</v>
      </c>
      <c r="M16" s="513">
        <f t="shared" si="2"/>
        <v>0</v>
      </c>
      <c r="N16" s="426">
        <f>C16+'Về việc chủ động Mau 01.THA'!C15</f>
        <v>13826</v>
      </c>
    </row>
    <row r="17" spans="1:14" ht="20.25" customHeight="1">
      <c r="A17" s="85">
        <v>1</v>
      </c>
      <c r="B17" s="5" t="s">
        <v>192</v>
      </c>
      <c r="C17" s="513">
        <f t="shared" si="1"/>
        <v>3398</v>
      </c>
      <c r="D17" s="513">
        <f>D18+D19+D20+D21+D22+D23</f>
        <v>2297</v>
      </c>
      <c r="E17" s="513">
        <f aca="true" t="shared" si="3" ref="E17:L17">E18+E19+E20+E21+E22+E23</f>
        <v>483</v>
      </c>
      <c r="F17" s="513">
        <f t="shared" si="3"/>
        <v>0</v>
      </c>
      <c r="G17" s="513">
        <f t="shared" si="3"/>
        <v>483</v>
      </c>
      <c r="H17" s="513">
        <f t="shared" si="3"/>
        <v>0</v>
      </c>
      <c r="I17" s="513">
        <f t="shared" si="3"/>
        <v>526</v>
      </c>
      <c r="J17" s="513">
        <f t="shared" si="3"/>
        <v>84</v>
      </c>
      <c r="K17" s="513">
        <f t="shared" si="3"/>
        <v>8</v>
      </c>
      <c r="L17" s="513">
        <f t="shared" si="3"/>
        <v>0</v>
      </c>
      <c r="M17" s="513">
        <f>M18+M19+M20+M21+M22+M23</f>
        <v>0</v>
      </c>
      <c r="N17" s="732">
        <f>C17+'Về việc chủ động Mau 01.THA'!C16</f>
        <v>11487</v>
      </c>
    </row>
    <row r="18" spans="1:14" ht="20.25" customHeight="1">
      <c r="A18" s="83">
        <v>1.1</v>
      </c>
      <c r="B18" s="18" t="s">
        <v>151</v>
      </c>
      <c r="C18" s="513">
        <f t="shared" si="1"/>
        <v>611</v>
      </c>
      <c r="D18" s="581">
        <f>8+40+7+27+40+60+10+152+7+27+21+0+8+1</f>
        <v>408</v>
      </c>
      <c r="E18" s="515">
        <f aca="true" t="shared" si="4" ref="E18:E23">F18+G18</f>
        <v>154</v>
      </c>
      <c r="F18" s="581">
        <v>0</v>
      </c>
      <c r="G18" s="581">
        <f>2+6+7+28+22+4+49+2+17+17</f>
        <v>154</v>
      </c>
      <c r="H18" s="581">
        <v>0</v>
      </c>
      <c r="I18" s="581">
        <f>2+2+8+3+7+1+6+3+8+0</f>
        <v>40</v>
      </c>
      <c r="J18" s="581">
        <f>1+1+2+3+1</f>
        <v>8</v>
      </c>
      <c r="K18" s="581">
        <v>1</v>
      </c>
      <c r="L18" s="581">
        <v>0</v>
      </c>
      <c r="M18" s="579"/>
      <c r="N18" s="436">
        <f>C18+'Về việc chủ động Mau 01.THA'!C17</f>
        <v>6643</v>
      </c>
    </row>
    <row r="19" spans="1:14" ht="20.25" customHeight="1">
      <c r="A19" s="83">
        <v>1.2</v>
      </c>
      <c r="B19" s="18" t="s">
        <v>152</v>
      </c>
      <c r="C19" s="513">
        <f t="shared" si="1"/>
        <v>235</v>
      </c>
      <c r="D19" s="579">
        <f>2+51+14+23+6+24+7+14+17+5+1</f>
        <v>164</v>
      </c>
      <c r="E19" s="515">
        <f t="shared" si="4"/>
        <v>26</v>
      </c>
      <c r="F19" s="579">
        <v>0</v>
      </c>
      <c r="G19" s="579">
        <v>26</v>
      </c>
      <c r="H19" s="579">
        <v>0</v>
      </c>
      <c r="I19" s="579">
        <f>2+19+3+1+4+8+4+0</f>
        <v>41</v>
      </c>
      <c r="J19" s="579">
        <v>4</v>
      </c>
      <c r="K19" s="579">
        <v>0</v>
      </c>
      <c r="L19" s="579">
        <v>0</v>
      </c>
      <c r="M19" s="579"/>
      <c r="N19" s="438">
        <f>C19+'Về việc chủ động Mau 01.THA'!C18</f>
        <v>281</v>
      </c>
    </row>
    <row r="20" spans="1:14" ht="20.25" customHeight="1">
      <c r="A20" s="83">
        <v>1.3</v>
      </c>
      <c r="B20" s="18" t="s">
        <v>153</v>
      </c>
      <c r="C20" s="513">
        <f t="shared" si="1"/>
        <v>26</v>
      </c>
      <c r="D20" s="579">
        <v>9</v>
      </c>
      <c r="E20" s="515">
        <f t="shared" si="4"/>
        <v>15</v>
      </c>
      <c r="F20" s="579">
        <v>0</v>
      </c>
      <c r="G20" s="579">
        <f>4+2+5+1+2+1+0</f>
        <v>15</v>
      </c>
      <c r="H20" s="579">
        <v>0</v>
      </c>
      <c r="I20" s="579">
        <v>2</v>
      </c>
      <c r="J20" s="579">
        <v>0</v>
      </c>
      <c r="K20" s="579">
        <v>0</v>
      </c>
      <c r="L20" s="579">
        <v>0</v>
      </c>
      <c r="M20" s="579"/>
      <c r="N20" s="435">
        <f>C20+'Về việc chủ động Mau 01.THA'!C19</f>
        <v>145</v>
      </c>
    </row>
    <row r="21" spans="1:14" ht="20.25" customHeight="1">
      <c r="A21" s="83">
        <v>1.4</v>
      </c>
      <c r="B21" s="18" t="s">
        <v>199</v>
      </c>
      <c r="C21" s="513">
        <f t="shared" si="1"/>
        <v>352</v>
      </c>
      <c r="D21" s="737">
        <f>7+29+48+22+54+65+31+3+1+8+3</f>
        <v>271</v>
      </c>
      <c r="E21" s="515">
        <f t="shared" si="4"/>
        <v>44</v>
      </c>
      <c r="F21" s="579">
        <v>0</v>
      </c>
      <c r="G21" s="579">
        <v>44</v>
      </c>
      <c r="H21" s="579">
        <v>0</v>
      </c>
      <c r="I21" s="579">
        <f>34</f>
        <v>34</v>
      </c>
      <c r="J21" s="579">
        <v>3</v>
      </c>
      <c r="K21" s="579">
        <v>0</v>
      </c>
      <c r="L21" s="579">
        <v>0</v>
      </c>
      <c r="M21" s="579"/>
      <c r="N21" s="732">
        <f>C21</f>
        <v>352</v>
      </c>
    </row>
    <row r="22" spans="1:14" ht="20.25" customHeight="1">
      <c r="A22" s="83">
        <v>1.5</v>
      </c>
      <c r="B22" s="18" t="s">
        <v>155</v>
      </c>
      <c r="C22" s="513">
        <f>D22+E22+H22+I22+J22+K22+L22+M22</f>
        <v>2095</v>
      </c>
      <c r="D22" s="579">
        <f>48+387+137+229+72+191+42+163+36+72+16+2</f>
        <v>1395</v>
      </c>
      <c r="E22" s="515">
        <f t="shared" si="4"/>
        <v>232</v>
      </c>
      <c r="F22" s="579">
        <v>0</v>
      </c>
      <c r="G22" s="579">
        <f>9+4+54+6+12+14+15+19+63+36+0</f>
        <v>232</v>
      </c>
      <c r="H22" s="579">
        <v>0</v>
      </c>
      <c r="I22" s="579">
        <f>7+13+19+117+15+64+36+19+19+85+2</f>
        <v>396</v>
      </c>
      <c r="J22" s="579">
        <f>7+19+1+4+6+19+1+8</f>
        <v>65</v>
      </c>
      <c r="K22" s="579">
        <v>7</v>
      </c>
      <c r="L22" s="579">
        <v>0</v>
      </c>
      <c r="M22" s="579"/>
      <c r="N22" s="435">
        <f>C22+'Về việc chủ động Mau 01.THA'!C22</f>
        <v>3790</v>
      </c>
    </row>
    <row r="23" spans="1:14" ht="20.25" customHeight="1">
      <c r="A23" s="83">
        <v>1.6</v>
      </c>
      <c r="B23" s="18" t="s">
        <v>156</v>
      </c>
      <c r="C23" s="513">
        <f>D23+E23+H23+I23+J23+K23+L23+M23</f>
        <v>79</v>
      </c>
      <c r="D23" s="579">
        <f>71-21</f>
        <v>50</v>
      </c>
      <c r="E23" s="515">
        <f t="shared" si="4"/>
        <v>12</v>
      </c>
      <c r="F23" s="579">
        <v>0</v>
      </c>
      <c r="G23" s="579">
        <v>12</v>
      </c>
      <c r="H23" s="579">
        <v>0</v>
      </c>
      <c r="I23" s="579">
        <f>13</f>
        <v>13</v>
      </c>
      <c r="J23" s="579">
        <v>4</v>
      </c>
      <c r="K23" s="579">
        <v>0</v>
      </c>
      <c r="L23" s="579">
        <v>0</v>
      </c>
      <c r="M23" s="579"/>
      <c r="N23" s="435">
        <f>C23+'Về việc chủ động Mau 01.THA'!C23</f>
        <v>263</v>
      </c>
    </row>
    <row r="24" spans="1:15" ht="20.25" customHeight="1">
      <c r="A24" s="85">
        <v>2</v>
      </c>
      <c r="B24" s="5" t="s">
        <v>157</v>
      </c>
      <c r="C24" s="513">
        <f>D24+E24+H24+I24+J24+K24+L24+M24</f>
        <v>712</v>
      </c>
      <c r="D24" s="513">
        <f aca="true" t="shared" si="5" ref="D24:M24">D25+D26+D27</f>
        <v>592</v>
      </c>
      <c r="E24" s="513">
        <f t="shared" si="5"/>
        <v>57</v>
      </c>
      <c r="F24" s="513">
        <f t="shared" si="5"/>
        <v>0</v>
      </c>
      <c r="G24" s="513">
        <f t="shared" si="5"/>
        <v>57</v>
      </c>
      <c r="H24" s="513">
        <f t="shared" si="5"/>
        <v>1</v>
      </c>
      <c r="I24" s="513">
        <f t="shared" si="5"/>
        <v>29</v>
      </c>
      <c r="J24" s="513">
        <f t="shared" si="5"/>
        <v>31</v>
      </c>
      <c r="K24" s="513">
        <f t="shared" si="5"/>
        <v>0</v>
      </c>
      <c r="L24" s="513">
        <f t="shared" si="5"/>
        <v>2</v>
      </c>
      <c r="M24" s="513">
        <f t="shared" si="5"/>
        <v>0</v>
      </c>
      <c r="N24" s="435">
        <f>C24+'Về việc chủ động Mau 01.THA'!C24</f>
        <v>2339</v>
      </c>
      <c r="O24" s="398"/>
    </row>
    <row r="25" spans="1:14" ht="20.25" customHeight="1">
      <c r="A25" s="83">
        <v>2.1</v>
      </c>
      <c r="B25" s="18" t="s">
        <v>293</v>
      </c>
      <c r="C25" s="513">
        <f t="shared" si="1"/>
        <v>147</v>
      </c>
      <c r="D25" s="579">
        <f>3+10+5+3+47+4+26+6+21+3</f>
        <v>128</v>
      </c>
      <c r="E25" s="513">
        <f>F25+G25</f>
        <v>10</v>
      </c>
      <c r="F25" s="579">
        <v>0</v>
      </c>
      <c r="G25" s="579">
        <f>1+1+5+0+3</f>
        <v>10</v>
      </c>
      <c r="H25" s="579">
        <v>0</v>
      </c>
      <c r="I25" s="579">
        <f>1+1+1+1+0+2</f>
        <v>6</v>
      </c>
      <c r="J25" s="579">
        <v>3</v>
      </c>
      <c r="K25" s="579">
        <v>0</v>
      </c>
      <c r="L25" s="579">
        <v>0</v>
      </c>
      <c r="M25" s="579"/>
      <c r="N25" s="435">
        <f>C25+'Về việc chủ động Mau 01.THA'!C25</f>
        <v>1411</v>
      </c>
    </row>
    <row r="26" spans="1:14" ht="20.25" customHeight="1">
      <c r="A26" s="83">
        <v>2.2</v>
      </c>
      <c r="B26" s="18" t="s">
        <v>159</v>
      </c>
      <c r="C26" s="513">
        <f>D26+E26+H26+I26+J26+K26+L26+M26</f>
        <v>11</v>
      </c>
      <c r="D26" s="583">
        <v>9</v>
      </c>
      <c r="E26" s="513">
        <f>F26+G26</f>
        <v>0</v>
      </c>
      <c r="F26" s="583">
        <v>0</v>
      </c>
      <c r="G26" s="583"/>
      <c r="H26" s="583">
        <v>1</v>
      </c>
      <c r="I26" s="583">
        <v>1</v>
      </c>
      <c r="J26" s="583">
        <v>0</v>
      </c>
      <c r="K26" s="583">
        <v>0</v>
      </c>
      <c r="L26" s="583">
        <v>0</v>
      </c>
      <c r="M26" s="579"/>
      <c r="N26" s="435">
        <f>C26+'Về việc chủ động Mau 01.THA'!C26</f>
        <v>18</v>
      </c>
    </row>
    <row r="27" spans="1:14" ht="20.25" customHeight="1">
      <c r="A27" s="83">
        <v>2.3</v>
      </c>
      <c r="B27" s="18" t="s">
        <v>160</v>
      </c>
      <c r="C27" s="513">
        <f t="shared" si="1"/>
        <v>554</v>
      </c>
      <c r="D27" s="579">
        <f>42+93+116+64+4+19+16+58+22+21</f>
        <v>455</v>
      </c>
      <c r="E27" s="513">
        <f>F27+G27</f>
        <v>47</v>
      </c>
      <c r="F27" s="579">
        <v>0</v>
      </c>
      <c r="G27" s="579">
        <f>3+25+1+4+9+5</f>
        <v>47</v>
      </c>
      <c r="H27" s="579">
        <v>0</v>
      </c>
      <c r="I27" s="579">
        <f>13+1+4+4+0</f>
        <v>22</v>
      </c>
      <c r="J27" s="579">
        <f>16+7+2+3+0</f>
        <v>28</v>
      </c>
      <c r="K27" s="579">
        <v>0</v>
      </c>
      <c r="L27" s="579">
        <v>2</v>
      </c>
      <c r="M27" s="579"/>
      <c r="N27" s="435">
        <f>C27+'Về việc chủ động Mau 01.THA'!C27</f>
        <v>910</v>
      </c>
    </row>
    <row r="28" spans="1:13" ht="27" customHeight="1">
      <c r="A28" s="392" t="s">
        <v>110</v>
      </c>
      <c r="B28" s="19" t="s">
        <v>313</v>
      </c>
      <c r="C28" s="397">
        <f>(C18+C19+C20+C21)*100/C17</f>
        <v>36.02118893466745</v>
      </c>
      <c r="D28" s="397">
        <f aca="true" t="shared" si="6" ref="D28:M28">(D18+D19+D20+D21)*100/D17</f>
        <v>37.09185894645189</v>
      </c>
      <c r="E28" s="397">
        <f t="shared" si="6"/>
        <v>49.4824016563147</v>
      </c>
      <c r="F28" s="397" t="e">
        <f t="shared" si="6"/>
        <v>#DIV/0!</v>
      </c>
      <c r="G28" s="397">
        <f t="shared" si="6"/>
        <v>49.4824016563147</v>
      </c>
      <c r="H28" s="397" t="e">
        <f t="shared" si="6"/>
        <v>#DIV/0!</v>
      </c>
      <c r="I28" s="397">
        <f t="shared" si="6"/>
        <v>22.24334600760456</v>
      </c>
      <c r="J28" s="397">
        <f t="shared" si="6"/>
        <v>17.857142857142858</v>
      </c>
      <c r="K28" s="397">
        <f t="shared" si="6"/>
        <v>12.5</v>
      </c>
      <c r="L28" s="397" t="e">
        <f t="shared" si="6"/>
        <v>#DIV/0!</v>
      </c>
      <c r="M28" s="397" t="e">
        <f t="shared" si="6"/>
        <v>#DIV/0!</v>
      </c>
    </row>
    <row r="29" spans="1:10" ht="15.75" customHeight="1" hidden="1">
      <c r="A29" s="1209" t="s">
        <v>225</v>
      </c>
      <c r="B29" s="1210"/>
      <c r="C29" s="1210"/>
      <c r="D29" s="1210"/>
      <c r="E29" s="1210"/>
      <c r="J29" s="86"/>
    </row>
    <row r="30" spans="1:7" s="79" customFormat="1" ht="15" hidden="1">
      <c r="A30" s="87"/>
      <c r="B30" s="87" t="s">
        <v>227</v>
      </c>
      <c r="C30" s="81"/>
      <c r="D30" s="81"/>
      <c r="E30" s="81"/>
      <c r="F30" s="88"/>
      <c r="G30" s="88"/>
    </row>
    <row r="31" spans="1:13" s="79" customFormat="1" ht="15.75" hidden="1">
      <c r="A31" s="89"/>
      <c r="B31" s="87" t="s">
        <v>226</v>
      </c>
      <c r="C31" s="89"/>
      <c r="D31" s="89"/>
      <c r="E31" s="89"/>
      <c r="L31" s="81"/>
      <c r="M31" s="81"/>
    </row>
    <row r="32" spans="2:17" s="82" customFormat="1" ht="17.25">
      <c r="B32" s="90"/>
      <c r="C32" s="401"/>
      <c r="D32" s="401"/>
      <c r="E32" s="401"/>
      <c r="F32" s="401"/>
      <c r="G32" s="401"/>
      <c r="H32" s="401"/>
      <c r="I32" s="401"/>
      <c r="J32" s="401"/>
      <c r="K32" s="401"/>
      <c r="L32" s="401"/>
      <c r="P32" s="91"/>
      <c r="Q32" s="92"/>
    </row>
    <row r="33" spans="2:17" s="82" customFormat="1" ht="15.75">
      <c r="B33" s="93"/>
      <c r="L33" s="427"/>
      <c r="M33" s="81" t="s">
        <v>107</v>
      </c>
      <c r="P33" s="93"/>
      <c r="Q33" s="93"/>
    </row>
    <row r="34" spans="2:17" s="82" customFormat="1" ht="15.75">
      <c r="B34" s="93"/>
      <c r="C34" s="427">
        <f aca="true" t="shared" si="7" ref="C34:K34">C24+C17-C13</f>
        <v>0</v>
      </c>
      <c r="D34" s="427">
        <f t="shared" si="7"/>
        <v>0</v>
      </c>
      <c r="E34" s="427">
        <f t="shared" si="7"/>
        <v>0</v>
      </c>
      <c r="F34" s="427">
        <f t="shared" si="7"/>
        <v>0</v>
      </c>
      <c r="G34" s="427">
        <f t="shared" si="7"/>
        <v>0</v>
      </c>
      <c r="H34" s="427">
        <f t="shared" si="7"/>
        <v>0</v>
      </c>
      <c r="I34" s="427">
        <f t="shared" si="7"/>
        <v>0</v>
      </c>
      <c r="J34" s="427">
        <f t="shared" si="7"/>
        <v>0</v>
      </c>
      <c r="K34" s="427">
        <f t="shared" si="7"/>
        <v>0</v>
      </c>
      <c r="P34" s="1187"/>
      <c r="Q34" s="1187"/>
    </row>
    <row r="35" spans="2:17" s="82" customFormat="1" ht="15.75">
      <c r="B35" s="93"/>
      <c r="C35" s="93"/>
      <c r="D35" s="93"/>
      <c r="E35" s="93"/>
      <c r="F35" s="93"/>
      <c r="G35" s="93"/>
      <c r="H35" s="93"/>
      <c r="P35" s="1187"/>
      <c r="Q35" s="1187"/>
    </row>
    <row r="36" spans="2:17" s="82" customFormat="1" ht="15.75">
      <c r="B36" s="93"/>
      <c r="C36" s="93"/>
      <c r="D36" s="93"/>
      <c r="E36" s="93"/>
      <c r="F36" s="93"/>
      <c r="G36" s="93"/>
      <c r="H36" s="93"/>
      <c r="P36" s="1187"/>
      <c r="Q36" s="1187"/>
    </row>
    <row r="37" spans="2:17" s="82" customFormat="1" ht="15.75">
      <c r="B37" s="94"/>
      <c r="C37" s="94"/>
      <c r="D37" s="94"/>
      <c r="E37" s="94"/>
      <c r="F37" s="94"/>
      <c r="G37" s="94"/>
      <c r="H37" s="94"/>
      <c r="P37" s="1187"/>
      <c r="Q37" s="1187"/>
    </row>
    <row r="38" spans="16:17" s="82" customFormat="1" ht="15.75">
      <c r="P38" s="1187"/>
      <c r="Q38" s="1187"/>
    </row>
    <row r="39" s="82" customFormat="1" ht="15.75"/>
    <row r="40" s="82" customFormat="1" ht="15.75"/>
    <row r="41" s="82" customFormat="1" ht="15.75"/>
    <row r="42" s="82" customFormat="1" ht="15.75"/>
    <row r="43" s="82" customFormat="1" ht="15.75"/>
  </sheetData>
  <sheetProtection/>
  <mergeCells count="31">
    <mergeCell ref="J2:M2"/>
    <mergeCell ref="J3:M3"/>
    <mergeCell ref="A2:B2"/>
    <mergeCell ref="C2:I2"/>
    <mergeCell ref="J4:M4"/>
    <mergeCell ref="A5:B5"/>
    <mergeCell ref="J5:M5"/>
    <mergeCell ref="J6:M6"/>
    <mergeCell ref="C5:I5"/>
    <mergeCell ref="A4:B4"/>
    <mergeCell ref="C4:I4"/>
    <mergeCell ref="M8:M11"/>
    <mergeCell ref="A12:B12"/>
    <mergeCell ref="A7:B11"/>
    <mergeCell ref="C7:C11"/>
    <mergeCell ref="E10:E11"/>
    <mergeCell ref="F10:G10"/>
    <mergeCell ref="D7:M7"/>
    <mergeCell ref="D8:D11"/>
    <mergeCell ref="I8:I11"/>
    <mergeCell ref="K8:K11"/>
    <mergeCell ref="L8:L11"/>
    <mergeCell ref="E8:G9"/>
    <mergeCell ref="H8:H11"/>
    <mergeCell ref="P38:Q38"/>
    <mergeCell ref="P34:Q34"/>
    <mergeCell ref="P35:Q35"/>
    <mergeCell ref="P36:Q36"/>
    <mergeCell ref="P37:Q37"/>
    <mergeCell ref="J8:J11"/>
    <mergeCell ref="A29:E29"/>
  </mergeCells>
  <printOptions/>
  <pageMargins left="0.25" right="0" top="0.25" bottom="0" header="0.5" footer="0.5"/>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sheetPr>
    <tabColor indexed="10"/>
  </sheetPr>
  <dimension ref="A2:E40"/>
  <sheetViews>
    <sheetView zoomScale="90" zoomScaleNormal="90" zoomScalePageLayoutView="0" workbookViewId="0" topLeftCell="A10">
      <selection activeCell="D18" sqref="D18"/>
    </sheetView>
  </sheetViews>
  <sheetFormatPr defaultColWidth="9.00390625" defaultRowHeight="15.75"/>
  <cols>
    <col min="1" max="1" width="4.25390625" style="76" customWidth="1"/>
    <col min="2" max="2" width="51.25390625" style="76" customWidth="1"/>
    <col min="3" max="3" width="35.375" style="76" customWidth="1"/>
    <col min="4" max="4" width="39.625" style="76" customWidth="1"/>
    <col min="5" max="5" width="16.00390625" style="76" customWidth="1"/>
    <col min="6" max="16384" width="9.00390625" style="76" customWidth="1"/>
  </cols>
  <sheetData>
    <row r="2" spans="1:4" s="79" customFormat="1" ht="36" customHeight="1">
      <c r="A2" s="997" t="s">
        <v>310</v>
      </c>
      <c r="B2" s="987"/>
      <c r="C2" s="987"/>
      <c r="D2" s="987"/>
    </row>
    <row r="3" spans="1:4" ht="15" customHeight="1">
      <c r="A3" s="1178" t="s">
        <v>274</v>
      </c>
      <c r="B3" s="1179"/>
      <c r="C3" s="96" t="s">
        <v>17</v>
      </c>
      <c r="D3" s="96" t="s">
        <v>18</v>
      </c>
    </row>
    <row r="4" spans="1:4" ht="12.75" customHeight="1">
      <c r="A4" s="1176" t="s">
        <v>105</v>
      </c>
      <c r="B4" s="1177"/>
      <c r="C4" s="335">
        <v>1</v>
      </c>
      <c r="D4" s="335">
        <v>2</v>
      </c>
    </row>
    <row r="5" spans="1:5" ht="20.25" customHeight="1">
      <c r="A5" s="512">
        <v>1</v>
      </c>
      <c r="B5" s="510" t="s">
        <v>28</v>
      </c>
      <c r="C5" s="511">
        <f>'Về việc chủ động Mau 01.THA'!C25</f>
        <v>1264</v>
      </c>
      <c r="D5" s="84"/>
      <c r="E5" s="398">
        <f>C10+C9+C8+C7+C6-C5</f>
        <v>0</v>
      </c>
    </row>
    <row r="6" spans="1:4" s="157" customFormat="1" ht="15.75" customHeight="1">
      <c r="A6" s="180">
        <v>1.1</v>
      </c>
      <c r="B6" s="167" t="s">
        <v>29</v>
      </c>
      <c r="C6" s="402">
        <v>119</v>
      </c>
      <c r="D6" s="97"/>
    </row>
    <row r="7" spans="1:4" s="157" customFormat="1" ht="16.5" customHeight="1">
      <c r="A7" s="180">
        <v>1.2</v>
      </c>
      <c r="B7" s="167" t="s">
        <v>30</v>
      </c>
      <c r="C7" s="402">
        <f>1062+75</f>
        <v>1137</v>
      </c>
      <c r="D7" s="97"/>
    </row>
    <row r="8" spans="1:4" s="157" customFormat="1" ht="16.5" customHeight="1">
      <c r="A8" s="180">
        <v>1.3</v>
      </c>
      <c r="B8" s="167" t="s">
        <v>31</v>
      </c>
      <c r="C8" s="402">
        <v>0</v>
      </c>
      <c r="D8" s="97"/>
    </row>
    <row r="9" spans="1:4" s="157" customFormat="1" ht="16.5" customHeight="1">
      <c r="A9" s="180">
        <v>1.4</v>
      </c>
      <c r="B9" s="167" t="s">
        <v>32</v>
      </c>
      <c r="C9" s="403">
        <v>0</v>
      </c>
      <c r="D9" s="97"/>
    </row>
    <row r="10" spans="1:4" s="157" customFormat="1" ht="15.75" customHeight="1">
      <c r="A10" s="180">
        <v>1.5</v>
      </c>
      <c r="B10" s="167" t="s">
        <v>46</v>
      </c>
      <c r="C10" s="402">
        <v>8</v>
      </c>
      <c r="D10" s="97"/>
    </row>
    <row r="11" spans="1:5" ht="21.75" customHeight="1">
      <c r="A11" s="512">
        <v>2</v>
      </c>
      <c r="B11" s="510" t="s">
        <v>26</v>
      </c>
      <c r="C11" s="511">
        <f>'Về việc chủ động Mau 01.THA'!C26</f>
        <v>7</v>
      </c>
      <c r="D11" s="84"/>
      <c r="E11" s="398">
        <f>C13+C12-C11</f>
        <v>0</v>
      </c>
    </row>
    <row r="12" spans="1:4" s="157" customFormat="1" ht="17.25" customHeight="1">
      <c r="A12" s="180">
        <v>2.1</v>
      </c>
      <c r="B12" s="167" t="s">
        <v>33</v>
      </c>
      <c r="C12" s="402">
        <v>7</v>
      </c>
      <c r="D12" s="97"/>
    </row>
    <row r="13" spans="1:4" s="157" customFormat="1" ht="16.5" customHeight="1">
      <c r="A13" s="180">
        <v>2.2</v>
      </c>
      <c r="B13" s="167" t="s">
        <v>34</v>
      </c>
      <c r="C13" s="402">
        <v>0</v>
      </c>
      <c r="D13" s="97"/>
    </row>
    <row r="14" spans="1:5" ht="18.75" customHeight="1">
      <c r="A14" s="512">
        <v>3</v>
      </c>
      <c r="B14" s="510" t="s">
        <v>25</v>
      </c>
      <c r="C14" s="511">
        <f>'Về việc chủ động Mau 01.THA'!C18</f>
        <v>46</v>
      </c>
      <c r="D14" s="84"/>
      <c r="E14" s="398">
        <f>C19+C18+C17+C16+C15-C14</f>
        <v>0</v>
      </c>
    </row>
    <row r="15" spans="1:4" s="157" customFormat="1" ht="17.25" customHeight="1">
      <c r="A15" s="180">
        <v>3.1</v>
      </c>
      <c r="B15" s="167" t="s">
        <v>35</v>
      </c>
      <c r="C15" s="580">
        <v>21</v>
      </c>
      <c r="D15" s="97"/>
    </row>
    <row r="16" spans="1:4" s="157" customFormat="1" ht="18" customHeight="1">
      <c r="A16" s="180">
        <v>3.2</v>
      </c>
      <c r="B16" s="167" t="s">
        <v>37</v>
      </c>
      <c r="C16" s="580">
        <v>14</v>
      </c>
      <c r="D16" s="97"/>
    </row>
    <row r="17" spans="1:4" s="157" customFormat="1" ht="17.25" customHeight="1">
      <c r="A17" s="180">
        <v>3.3</v>
      </c>
      <c r="B17" s="167" t="s">
        <v>38</v>
      </c>
      <c r="C17" s="580">
        <v>2</v>
      </c>
      <c r="D17" s="97"/>
    </row>
    <row r="18" spans="1:4" s="157" customFormat="1" ht="16.5" customHeight="1">
      <c r="A18" s="180">
        <v>3.4</v>
      </c>
      <c r="B18" s="167" t="s">
        <v>39</v>
      </c>
      <c r="C18" s="580">
        <v>6</v>
      </c>
      <c r="D18" s="97"/>
    </row>
    <row r="19" spans="1:4" s="157" customFormat="1" ht="18" customHeight="1">
      <c r="A19" s="180">
        <v>3.5</v>
      </c>
      <c r="B19" s="167" t="s">
        <v>40</v>
      </c>
      <c r="C19" s="580">
        <v>3</v>
      </c>
      <c r="D19" s="97"/>
    </row>
    <row r="20" spans="1:5" ht="18.75" customHeight="1">
      <c r="A20" s="512">
        <v>4</v>
      </c>
      <c r="B20" s="510" t="s">
        <v>27</v>
      </c>
      <c r="C20" s="511">
        <f>'Về việc chủ động Mau 01.THA'!C27</f>
        <v>356</v>
      </c>
      <c r="D20" s="84"/>
      <c r="E20" s="398">
        <f>C23+C22+C21-C20</f>
        <v>0</v>
      </c>
    </row>
    <row r="21" spans="1:4" s="157" customFormat="1" ht="17.25" customHeight="1">
      <c r="A21" s="180">
        <v>4.1</v>
      </c>
      <c r="B21" s="167" t="s">
        <v>41</v>
      </c>
      <c r="C21" s="580">
        <v>2</v>
      </c>
      <c r="D21" s="97"/>
    </row>
    <row r="22" spans="1:4" s="157" customFormat="1" ht="17.25" customHeight="1">
      <c r="A22" s="180">
        <v>4.2</v>
      </c>
      <c r="B22" s="167" t="s">
        <v>42</v>
      </c>
      <c r="C22" s="580">
        <f>43+30+65+10+1+1+7+0+5</f>
        <v>162</v>
      </c>
      <c r="D22" s="97"/>
    </row>
    <row r="23" spans="1:4" s="157" customFormat="1" ht="18.75" customHeight="1">
      <c r="A23" s="180">
        <v>4.3</v>
      </c>
      <c r="B23" s="181" t="s">
        <v>119</v>
      </c>
      <c r="C23" s="580">
        <v>192</v>
      </c>
      <c r="D23" s="97"/>
    </row>
    <row r="24" spans="1:4" s="157" customFormat="1" ht="17.25" customHeight="1">
      <c r="A24" s="117"/>
      <c r="B24" s="182"/>
      <c r="C24" s="183"/>
      <c r="D24" s="184"/>
    </row>
    <row r="25" spans="1:4" ht="15.75" customHeight="1">
      <c r="A25" s="82"/>
      <c r="B25" s="994" t="s">
        <v>386</v>
      </c>
      <c r="C25" s="164"/>
      <c r="D25" s="994" t="s">
        <v>385</v>
      </c>
    </row>
    <row r="26" spans="1:4" ht="15.75" customHeight="1">
      <c r="A26" s="82"/>
      <c r="B26" s="995"/>
      <c r="C26" s="185"/>
      <c r="D26" s="995"/>
    </row>
    <row r="27" spans="1:5" s="102" customFormat="1" ht="22.5" customHeight="1">
      <c r="A27" s="101"/>
      <c r="B27" s="75"/>
      <c r="D27" s="73" t="s">
        <v>656</v>
      </c>
      <c r="E27" s="103"/>
    </row>
    <row r="28" spans="2:4" ht="15.75" customHeight="1">
      <c r="B28" s="186"/>
      <c r="C28" s="157"/>
      <c r="D28" s="100"/>
    </row>
    <row r="29" spans="2:4" ht="15.75" customHeight="1">
      <c r="B29" s="186"/>
      <c r="C29" s="157"/>
      <c r="D29" s="100"/>
    </row>
    <row r="30" spans="2:4" ht="15.75" customHeight="1">
      <c r="B30" s="186"/>
      <c r="C30" s="157"/>
      <c r="D30" s="100"/>
    </row>
    <row r="31" spans="1:3" ht="15.75" hidden="1">
      <c r="A31" s="172" t="s">
        <v>188</v>
      </c>
      <c r="B31" s="105"/>
      <c r="C31" s="105"/>
    </row>
    <row r="32" ht="15.75" hidden="1">
      <c r="B32" s="173" t="s">
        <v>206</v>
      </c>
    </row>
    <row r="33" spans="2:3" ht="15.75" hidden="1">
      <c r="B33" s="174" t="s">
        <v>252</v>
      </c>
      <c r="C33" s="187"/>
    </row>
    <row r="34" spans="2:3" ht="15.75" hidden="1">
      <c r="B34" s="174" t="s">
        <v>223</v>
      </c>
      <c r="C34" s="187"/>
    </row>
    <row r="35" spans="2:4" ht="15.75" hidden="1">
      <c r="B35" s="188" t="s">
        <v>253</v>
      </c>
      <c r="D35" s="107"/>
    </row>
    <row r="37" spans="2:4" ht="22.5" customHeight="1">
      <c r="B37" s="73" t="s">
        <v>390</v>
      </c>
      <c r="C37" s="150"/>
      <c r="D37" s="73" t="s">
        <v>2</v>
      </c>
    </row>
    <row r="40" ht="15.75">
      <c r="D40" s="107" t="s">
        <v>108</v>
      </c>
    </row>
  </sheetData>
  <sheetProtection/>
  <mergeCells count="5">
    <mergeCell ref="A2:D2"/>
    <mergeCell ref="A4:B4"/>
    <mergeCell ref="B25:B26"/>
    <mergeCell ref="D25:D26"/>
    <mergeCell ref="A3:B3"/>
  </mergeCells>
  <printOptions/>
  <pageMargins left="0.5" right="0.25" top="0.2" bottom="0" header="0.5" footer="0.5"/>
  <pageSetup horizontalDpi="1200" verticalDpi="1200" orientation="landscape" paperSize="9" r:id="rId2"/>
  <drawing r:id="rId1"/>
</worksheet>
</file>

<file path=xl/worksheets/sheet28.xml><?xml version="1.0" encoding="utf-8"?>
<worksheet xmlns="http://schemas.openxmlformats.org/spreadsheetml/2006/main" xmlns:r="http://schemas.openxmlformats.org/officeDocument/2006/relationships">
  <sheetPr>
    <tabColor indexed="10"/>
  </sheetPr>
  <dimension ref="A2:Q66"/>
  <sheetViews>
    <sheetView zoomScalePageLayoutView="0" workbookViewId="0" topLeftCell="A10">
      <selection activeCell="H21" sqref="H21"/>
    </sheetView>
  </sheetViews>
  <sheetFormatPr defaultColWidth="9.00390625" defaultRowHeight="15.75"/>
  <cols>
    <col min="1" max="1" width="3.50390625" style="79" customWidth="1"/>
    <col min="2" max="2" width="27.25390625" style="79" customWidth="1"/>
    <col min="3" max="3" width="12.25390625" style="79" customWidth="1"/>
    <col min="4" max="4" width="9.125" style="79" customWidth="1"/>
    <col min="5" max="5" width="9.50390625" style="79" customWidth="1"/>
    <col min="6" max="7" width="7.75390625" style="79" customWidth="1"/>
    <col min="8" max="8" width="9.625" style="79" customWidth="1"/>
    <col min="9" max="9" width="9.375" style="79" customWidth="1"/>
    <col min="10" max="13" width="9.625" style="79" customWidth="1"/>
    <col min="14" max="16384" width="9.00390625" style="79" customWidth="1"/>
  </cols>
  <sheetData>
    <row r="2" spans="1:13" ht="16.5" customHeight="1">
      <c r="A2" s="996" t="s">
        <v>135</v>
      </c>
      <c r="B2" s="1168"/>
      <c r="C2" s="78"/>
      <c r="D2" s="987" t="s">
        <v>324</v>
      </c>
      <c r="E2" s="987"/>
      <c r="F2" s="987"/>
      <c r="G2" s="987"/>
      <c r="H2" s="987"/>
      <c r="I2" s="987"/>
      <c r="K2" s="996" t="s">
        <v>375</v>
      </c>
      <c r="L2" s="996"/>
      <c r="M2" s="996"/>
    </row>
    <row r="3" spans="1:17" ht="16.5" customHeight="1">
      <c r="A3" s="1081" t="s">
        <v>367</v>
      </c>
      <c r="B3" s="1168"/>
      <c r="C3" s="1168"/>
      <c r="D3" s="987" t="s">
        <v>220</v>
      </c>
      <c r="E3" s="987"/>
      <c r="F3" s="987"/>
      <c r="G3" s="987"/>
      <c r="H3" s="987"/>
      <c r="I3" s="987"/>
      <c r="J3" s="189"/>
      <c r="K3" s="1172" t="s">
        <v>388</v>
      </c>
      <c r="L3" s="1216"/>
      <c r="M3" s="1216"/>
      <c r="Q3" s="149"/>
    </row>
    <row r="4" spans="1:17" ht="16.5" customHeight="1">
      <c r="A4" s="1081" t="s">
        <v>368</v>
      </c>
      <c r="B4" s="1081"/>
      <c r="D4" s="987" t="s">
        <v>0</v>
      </c>
      <c r="E4" s="987"/>
      <c r="F4" s="987"/>
      <c r="G4" s="987"/>
      <c r="H4" s="987"/>
      <c r="I4" s="987"/>
      <c r="J4" s="136"/>
      <c r="K4" s="1081" t="s">
        <v>376</v>
      </c>
      <c r="L4" s="1081"/>
      <c r="M4" s="1081"/>
      <c r="Q4" s="92"/>
    </row>
    <row r="5" spans="1:17" ht="16.5" customHeight="1">
      <c r="A5" s="1213" t="s">
        <v>176</v>
      </c>
      <c r="B5" s="1213"/>
      <c r="C5" s="10"/>
      <c r="D5" s="980" t="s">
        <v>1</v>
      </c>
      <c r="E5" s="980"/>
      <c r="F5" s="980"/>
      <c r="G5" s="980"/>
      <c r="H5" s="980"/>
      <c r="I5" s="980"/>
      <c r="J5" s="80"/>
      <c r="K5" s="1172" t="s">
        <v>389</v>
      </c>
      <c r="L5" s="1172"/>
      <c r="M5" s="1172"/>
      <c r="Q5" s="92"/>
    </row>
    <row r="6" spans="2:17" ht="16.5" customHeight="1">
      <c r="B6" s="80"/>
      <c r="C6" s="80"/>
      <c r="D6" s="80"/>
      <c r="E6" s="80"/>
      <c r="F6" s="149"/>
      <c r="G6" s="104"/>
      <c r="H6" s="104"/>
      <c r="I6" s="104"/>
      <c r="J6" s="149"/>
      <c r="K6" s="1215" t="s">
        <v>109</v>
      </c>
      <c r="L6" s="1215"/>
      <c r="M6" s="1215"/>
      <c r="Q6" s="92"/>
    </row>
    <row r="7" spans="1:17" ht="18.75" customHeight="1">
      <c r="A7" s="1064" t="s">
        <v>263</v>
      </c>
      <c r="B7" s="1065"/>
      <c r="C7" s="1062" t="s">
        <v>165</v>
      </c>
      <c r="D7" s="74"/>
      <c r="E7" s="1184" t="s">
        <v>106</v>
      </c>
      <c r="F7" s="1184"/>
      <c r="G7" s="1184"/>
      <c r="H7" s="1184"/>
      <c r="I7" s="1184"/>
      <c r="J7" s="1184"/>
      <c r="K7" s="1184"/>
      <c r="L7" s="1184"/>
      <c r="M7" s="1185"/>
      <c r="Q7" s="92"/>
    </row>
    <row r="8" spans="1:17" ht="27" customHeight="1">
      <c r="A8" s="1066"/>
      <c r="B8" s="1067"/>
      <c r="C8" s="981"/>
      <c r="D8" s="1170" t="s">
        <v>23</v>
      </c>
      <c r="E8" s="1066" t="s">
        <v>144</v>
      </c>
      <c r="F8" s="1214"/>
      <c r="G8" s="1067"/>
      <c r="H8" s="1170" t="s">
        <v>270</v>
      </c>
      <c r="I8" s="1170" t="s">
        <v>641</v>
      </c>
      <c r="J8" s="1170" t="s">
        <v>266</v>
      </c>
      <c r="K8" s="1170" t="s">
        <v>267</v>
      </c>
      <c r="L8" s="1170" t="s">
        <v>268</v>
      </c>
      <c r="M8" s="1170" t="s">
        <v>269</v>
      </c>
      <c r="P8" s="92"/>
      <c r="Q8" s="92"/>
    </row>
    <row r="9" spans="1:17" ht="13.5" customHeight="1">
      <c r="A9" s="1066"/>
      <c r="B9" s="1067"/>
      <c r="C9" s="981"/>
      <c r="D9" s="1170"/>
      <c r="E9" s="1169" t="s">
        <v>146</v>
      </c>
      <c r="F9" s="1071" t="s">
        <v>106</v>
      </c>
      <c r="G9" s="1073"/>
      <c r="H9" s="1170"/>
      <c r="I9" s="1170"/>
      <c r="J9" s="1170"/>
      <c r="K9" s="1170"/>
      <c r="L9" s="1170"/>
      <c r="M9" s="1170"/>
      <c r="O9" s="92"/>
      <c r="P9" s="1218"/>
      <c r="Q9" s="1218"/>
    </row>
    <row r="10" spans="1:17" ht="27.75" customHeight="1">
      <c r="A10" s="1154"/>
      <c r="B10" s="1155"/>
      <c r="C10" s="981"/>
      <c r="D10" s="1171"/>
      <c r="E10" s="1171"/>
      <c r="F10" s="71" t="s">
        <v>115</v>
      </c>
      <c r="G10" s="70" t="s">
        <v>143</v>
      </c>
      <c r="H10" s="1171"/>
      <c r="I10" s="1171"/>
      <c r="J10" s="1171"/>
      <c r="K10" s="1171"/>
      <c r="L10" s="1171"/>
      <c r="M10" s="1171"/>
      <c r="O10" s="92"/>
      <c r="P10" s="94"/>
      <c r="Q10" s="94"/>
    </row>
    <row r="11" spans="1:17" s="190" customFormat="1" ht="13.5" customHeight="1">
      <c r="A11" s="1219" t="s">
        <v>168</v>
      </c>
      <c r="B11" s="1220"/>
      <c r="C11" s="381">
        <v>1</v>
      </c>
      <c r="D11" s="381">
        <v>2</v>
      </c>
      <c r="E11" s="381">
        <v>3</v>
      </c>
      <c r="F11" s="381">
        <v>4</v>
      </c>
      <c r="G11" s="381">
        <v>5</v>
      </c>
      <c r="H11" s="381">
        <v>6</v>
      </c>
      <c r="I11" s="381">
        <v>7</v>
      </c>
      <c r="J11" s="381">
        <v>8</v>
      </c>
      <c r="K11" s="381">
        <v>9</v>
      </c>
      <c r="L11" s="381">
        <v>10</v>
      </c>
      <c r="M11" s="381">
        <v>11</v>
      </c>
      <c r="O11" s="93"/>
      <c r="P11" s="93"/>
      <c r="Q11" s="93"/>
    </row>
    <row r="12" spans="1:17" ht="19.5" customHeight="1">
      <c r="A12" s="143" t="s">
        <v>14</v>
      </c>
      <c r="B12" s="213" t="s">
        <v>161</v>
      </c>
      <c r="C12" s="507">
        <f>C13+C14</f>
        <v>9716</v>
      </c>
      <c r="D12" s="507">
        <f aca="true" t="shared" si="0" ref="D12:M12">D13+D14</f>
        <v>3153</v>
      </c>
      <c r="E12" s="507">
        <f t="shared" si="0"/>
        <v>2974</v>
      </c>
      <c r="F12" s="507">
        <f t="shared" si="0"/>
        <v>237</v>
      </c>
      <c r="G12" s="507">
        <f t="shared" si="0"/>
        <v>2737</v>
      </c>
      <c r="H12" s="507">
        <f t="shared" si="0"/>
        <v>15</v>
      </c>
      <c r="I12" s="507">
        <f t="shared" si="0"/>
        <v>3391</v>
      </c>
      <c r="J12" s="507">
        <f t="shared" si="0"/>
        <v>180</v>
      </c>
      <c r="K12" s="507">
        <f t="shared" si="0"/>
        <v>0</v>
      </c>
      <c r="L12" s="507">
        <f t="shared" si="0"/>
        <v>1</v>
      </c>
      <c r="M12" s="507">
        <f t="shared" si="0"/>
        <v>2</v>
      </c>
      <c r="O12" s="92"/>
      <c r="P12" s="92"/>
      <c r="Q12" s="92"/>
    </row>
    <row r="13" spans="1:17" ht="19.5" customHeight="1">
      <c r="A13" s="83">
        <v>1</v>
      </c>
      <c r="B13" s="192" t="s">
        <v>149</v>
      </c>
      <c r="C13" s="507">
        <f>D13+E13+H13+I13+J13+K13+L13+M13</f>
        <v>3199</v>
      </c>
      <c r="D13" s="399">
        <f>10+135+74+145+53+140+32+123+203+290+52</f>
        <v>1257</v>
      </c>
      <c r="E13" s="508">
        <f>F13+G13</f>
        <v>1526</v>
      </c>
      <c r="F13" s="396">
        <f>2+56+40+29+9+8+2+2+3+2</f>
        <v>153</v>
      </c>
      <c r="G13" s="396">
        <f>97+205+78+108+61+138+159+302+87+133+5</f>
        <v>1373</v>
      </c>
      <c r="H13" s="396">
        <f>1+0+0+0</f>
        <v>1</v>
      </c>
      <c r="I13" s="396">
        <f>34+56+29+3+59+11+56+2+82+0</f>
        <v>332</v>
      </c>
      <c r="J13" s="396">
        <f>15+1+17+8+2+19+20</f>
        <v>82</v>
      </c>
      <c r="K13" s="396">
        <v>0</v>
      </c>
      <c r="L13" s="396">
        <v>1</v>
      </c>
      <c r="M13" s="396">
        <v>0</v>
      </c>
      <c r="O13" s="92"/>
      <c r="P13" s="92"/>
      <c r="Q13" s="92"/>
    </row>
    <row r="14" spans="1:17" ht="19.5" customHeight="1">
      <c r="A14" s="83">
        <v>2</v>
      </c>
      <c r="B14" s="192" t="s">
        <v>186</v>
      </c>
      <c r="C14" s="507">
        <f>D14+E14+H14+I14+J14+K14+L14+M14</f>
        <v>6517</v>
      </c>
      <c r="D14" s="580">
        <f>102+196+263+361+125+359+196+118+89+68+19</f>
        <v>1896</v>
      </c>
      <c r="E14" s="508">
        <f>F14+G14</f>
        <v>1448</v>
      </c>
      <c r="F14" s="579">
        <f>2+1+2+3+30+12+34</f>
        <v>84</v>
      </c>
      <c r="G14" s="579">
        <f>62+118+115+100+125+152+114+171+105+191+111</f>
        <v>1364</v>
      </c>
      <c r="H14" s="579">
        <v>14</v>
      </c>
      <c r="I14" s="579">
        <f>64+225+167+386+236+347+143+688+276+519+8</f>
        <v>3059</v>
      </c>
      <c r="J14" s="579">
        <f>9+0+11+0+11+5+23+36+3</f>
        <v>98</v>
      </c>
      <c r="K14" s="579">
        <v>0</v>
      </c>
      <c r="L14" s="579">
        <v>0</v>
      </c>
      <c r="M14" s="579">
        <v>2</v>
      </c>
      <c r="O14" s="92"/>
      <c r="P14" s="92"/>
      <c r="Q14" s="92"/>
    </row>
    <row r="15" spans="1:13" ht="19.5" customHeight="1">
      <c r="A15" s="85" t="s">
        <v>15</v>
      </c>
      <c r="B15" s="191" t="s">
        <v>148</v>
      </c>
      <c r="C15" s="507">
        <f>D15+E15+H15+I15+J15+K15+L15+M15</f>
        <v>9716</v>
      </c>
      <c r="D15" s="507">
        <f>D16+D24</f>
        <v>3153</v>
      </c>
      <c r="E15" s="507">
        <f aca="true" t="shared" si="1" ref="E15:M15">E16+E24</f>
        <v>2974</v>
      </c>
      <c r="F15" s="507">
        <f t="shared" si="1"/>
        <v>237</v>
      </c>
      <c r="G15" s="507">
        <f t="shared" si="1"/>
        <v>2737</v>
      </c>
      <c r="H15" s="507">
        <f t="shared" si="1"/>
        <v>15</v>
      </c>
      <c r="I15" s="507">
        <f t="shared" si="1"/>
        <v>3391</v>
      </c>
      <c r="J15" s="507">
        <f t="shared" si="1"/>
        <v>180</v>
      </c>
      <c r="K15" s="507">
        <f t="shared" si="1"/>
        <v>0</v>
      </c>
      <c r="L15" s="507">
        <f t="shared" si="1"/>
        <v>1</v>
      </c>
      <c r="M15" s="507">
        <f t="shared" si="1"/>
        <v>2</v>
      </c>
    </row>
    <row r="16" spans="1:13" ht="19.5" customHeight="1">
      <c r="A16" s="85">
        <v>1</v>
      </c>
      <c r="B16" s="191" t="s">
        <v>150</v>
      </c>
      <c r="C16" s="507">
        <f>SUM(C17:C23)</f>
        <v>8089</v>
      </c>
      <c r="D16" s="507">
        <f aca="true" t="shared" si="2" ref="D16:M16">SUM(D17:D23)</f>
        <v>2670</v>
      </c>
      <c r="E16" s="507">
        <f t="shared" si="2"/>
        <v>1938</v>
      </c>
      <c r="F16" s="507">
        <f t="shared" si="2"/>
        <v>138</v>
      </c>
      <c r="G16" s="507">
        <f t="shared" si="2"/>
        <v>1800</v>
      </c>
      <c r="H16" s="507">
        <f t="shared" si="2"/>
        <v>15</v>
      </c>
      <c r="I16" s="507">
        <f t="shared" si="2"/>
        <v>3312</v>
      </c>
      <c r="J16" s="507">
        <f t="shared" si="2"/>
        <v>151</v>
      </c>
      <c r="K16" s="507">
        <f t="shared" si="2"/>
        <v>0</v>
      </c>
      <c r="L16" s="507">
        <f t="shared" si="2"/>
        <v>1</v>
      </c>
      <c r="M16" s="507">
        <f t="shared" si="2"/>
        <v>2</v>
      </c>
    </row>
    <row r="17" spans="1:13" ht="19.5" customHeight="1">
      <c r="A17" s="83">
        <v>1.1</v>
      </c>
      <c r="B17" s="192" t="s">
        <v>151</v>
      </c>
      <c r="C17" s="507">
        <f>D17+E17+H17+I17+J17+K17+L17+M17</f>
        <v>6032</v>
      </c>
      <c r="D17" s="582">
        <f>19+60+92+147+164+376+138+336+207+193+83</f>
        <v>1815</v>
      </c>
      <c r="E17" s="509">
        <f>F17+G17</f>
        <v>1241</v>
      </c>
      <c r="F17" s="581">
        <f>33+13+19+2+2+1+1+0</f>
        <v>71</v>
      </c>
      <c r="G17" s="581">
        <f>79+170+92+151+88+145+122+71+84+109+59</f>
        <v>1170</v>
      </c>
      <c r="H17" s="581">
        <v>13</v>
      </c>
      <c r="I17" s="581">
        <f>7+507+213+665+121+346+224+357+162+223+63</f>
        <v>2888</v>
      </c>
      <c r="J17" s="581">
        <f>3+27+17+4+10+5+8</f>
        <v>74</v>
      </c>
      <c r="K17" s="581">
        <v>0</v>
      </c>
      <c r="L17" s="581">
        <v>0</v>
      </c>
      <c r="M17" s="581">
        <v>1</v>
      </c>
    </row>
    <row r="18" spans="1:13" ht="19.5" customHeight="1">
      <c r="A18" s="83">
        <v>1.2</v>
      </c>
      <c r="B18" s="192" t="s">
        <v>152</v>
      </c>
      <c r="C18" s="507">
        <f aca="true" t="shared" si="3" ref="C18:C23">D18+E18+H18+I18+J18+K18+L18+M18</f>
        <v>46</v>
      </c>
      <c r="D18" s="580">
        <v>35</v>
      </c>
      <c r="E18" s="509">
        <f aca="true" t="shared" si="4" ref="E18:E23">F18+G18</f>
        <v>11</v>
      </c>
      <c r="F18" s="579">
        <v>0</v>
      </c>
      <c r="G18" s="579">
        <f>4+5+2</f>
        <v>11</v>
      </c>
      <c r="H18" s="579">
        <v>0</v>
      </c>
      <c r="I18" s="579">
        <v>0</v>
      </c>
      <c r="J18" s="579">
        <v>0</v>
      </c>
      <c r="K18" s="579">
        <v>0</v>
      </c>
      <c r="L18" s="579">
        <v>0</v>
      </c>
      <c r="M18" s="579">
        <v>0</v>
      </c>
    </row>
    <row r="19" spans="1:13" ht="19.5" customHeight="1">
      <c r="A19" s="83">
        <v>1.3</v>
      </c>
      <c r="B19" s="192" t="s">
        <v>153</v>
      </c>
      <c r="C19" s="507">
        <f t="shared" si="3"/>
        <v>119</v>
      </c>
      <c r="D19" s="580">
        <f>7+3+3+4+1+2+0</f>
        <v>20</v>
      </c>
      <c r="E19" s="509">
        <f>F19+G19</f>
        <v>97</v>
      </c>
      <c r="F19" s="579">
        <v>5</v>
      </c>
      <c r="G19" s="579">
        <f>6+24+5+3+4+6+17+9+10+8</f>
        <v>92</v>
      </c>
      <c r="H19" s="579">
        <v>0</v>
      </c>
      <c r="I19" s="579">
        <v>1</v>
      </c>
      <c r="J19" s="579">
        <v>1</v>
      </c>
      <c r="K19" s="579">
        <v>0</v>
      </c>
      <c r="L19" s="579">
        <v>0</v>
      </c>
      <c r="M19" s="579">
        <v>0</v>
      </c>
    </row>
    <row r="20" spans="1:13" ht="19.5" customHeight="1">
      <c r="A20" s="83">
        <v>1.4</v>
      </c>
      <c r="B20" s="192" t="s">
        <v>154</v>
      </c>
      <c r="C20" s="507">
        <f t="shared" si="3"/>
        <v>13</v>
      </c>
      <c r="D20" s="580">
        <v>4</v>
      </c>
      <c r="E20" s="509">
        <f t="shared" si="4"/>
        <v>9</v>
      </c>
      <c r="F20" s="579">
        <v>0</v>
      </c>
      <c r="G20" s="579">
        <v>9</v>
      </c>
      <c r="H20" s="579">
        <v>0</v>
      </c>
      <c r="I20" s="579">
        <v>0</v>
      </c>
      <c r="J20" s="579">
        <v>0</v>
      </c>
      <c r="K20" s="579">
        <v>0</v>
      </c>
      <c r="L20" s="579">
        <v>0</v>
      </c>
      <c r="M20" s="579">
        <v>0</v>
      </c>
    </row>
    <row r="21" spans="1:13" ht="19.5" customHeight="1">
      <c r="A21" s="83">
        <v>1.5</v>
      </c>
      <c r="B21" s="192" t="s">
        <v>292</v>
      </c>
      <c r="C21" s="507">
        <f t="shared" si="3"/>
        <v>0</v>
      </c>
      <c r="D21" s="580">
        <v>0</v>
      </c>
      <c r="E21" s="509">
        <f t="shared" si="4"/>
        <v>0</v>
      </c>
      <c r="F21" s="579">
        <v>0</v>
      </c>
      <c r="G21" s="579">
        <v>0</v>
      </c>
      <c r="H21" s="579">
        <v>0</v>
      </c>
      <c r="I21" s="579">
        <v>0</v>
      </c>
      <c r="J21" s="579">
        <v>0</v>
      </c>
      <c r="K21" s="579">
        <v>0</v>
      </c>
      <c r="L21" s="579">
        <v>0</v>
      </c>
      <c r="M21" s="579">
        <v>0</v>
      </c>
    </row>
    <row r="22" spans="1:13" ht="19.5" customHeight="1">
      <c r="A22" s="83">
        <v>1.6</v>
      </c>
      <c r="B22" s="192" t="s">
        <v>155</v>
      </c>
      <c r="C22" s="507">
        <f t="shared" si="3"/>
        <v>1695</v>
      </c>
      <c r="D22" s="580">
        <f>34+176+143+12+8+82+65+86+77+29+0</f>
        <v>712</v>
      </c>
      <c r="E22" s="509">
        <f t="shared" si="4"/>
        <v>529</v>
      </c>
      <c r="F22" s="579">
        <f>2+2+3+1+7+16+20+0</f>
        <v>51</v>
      </c>
      <c r="G22" s="579">
        <f>38+117+40+3+19+28+30+75+48+79+1</f>
        <v>478</v>
      </c>
      <c r="H22" s="579">
        <v>2</v>
      </c>
      <c r="I22" s="579">
        <f>84+7+73+19+50+23+1+93+32+1</f>
        <v>383</v>
      </c>
      <c r="J22" s="579">
        <f>16+21+8+1+1+13+7</f>
        <v>67</v>
      </c>
      <c r="K22" s="579">
        <v>0</v>
      </c>
      <c r="L22" s="579">
        <v>1</v>
      </c>
      <c r="M22" s="579">
        <v>1</v>
      </c>
    </row>
    <row r="23" spans="1:13" ht="19.5" customHeight="1">
      <c r="A23" s="83">
        <v>1.7</v>
      </c>
      <c r="B23" s="192" t="s">
        <v>156</v>
      </c>
      <c r="C23" s="507">
        <f t="shared" si="3"/>
        <v>184</v>
      </c>
      <c r="D23" s="580">
        <f>76+8</f>
        <v>84</v>
      </c>
      <c r="E23" s="509">
        <f t="shared" si="4"/>
        <v>51</v>
      </c>
      <c r="F23" s="579">
        <v>11</v>
      </c>
      <c r="G23" s="579">
        <f>22+16+2+0</f>
        <v>40</v>
      </c>
      <c r="H23" s="579">
        <v>0</v>
      </c>
      <c r="I23" s="579">
        <v>40</v>
      </c>
      <c r="J23" s="579">
        <v>9</v>
      </c>
      <c r="K23" s="579">
        <v>0</v>
      </c>
      <c r="L23" s="579">
        <v>0</v>
      </c>
      <c r="M23" s="579">
        <v>0</v>
      </c>
    </row>
    <row r="24" spans="1:15" ht="19.5" customHeight="1">
      <c r="A24" s="85">
        <v>2</v>
      </c>
      <c r="B24" s="191" t="s">
        <v>157</v>
      </c>
      <c r="C24" s="507">
        <f>SUM(C25:C27)</f>
        <v>1627</v>
      </c>
      <c r="D24" s="507">
        <f aca="true" t="shared" si="5" ref="D24:M24">SUM(D25:D27)</f>
        <v>483</v>
      </c>
      <c r="E24" s="507">
        <f t="shared" si="5"/>
        <v>1036</v>
      </c>
      <c r="F24" s="507">
        <f t="shared" si="5"/>
        <v>99</v>
      </c>
      <c r="G24" s="507">
        <f t="shared" si="5"/>
        <v>937</v>
      </c>
      <c r="H24" s="507">
        <f t="shared" si="5"/>
        <v>0</v>
      </c>
      <c r="I24" s="507">
        <f t="shared" si="5"/>
        <v>79</v>
      </c>
      <c r="J24" s="507">
        <f t="shared" si="5"/>
        <v>29</v>
      </c>
      <c r="K24" s="507">
        <f t="shared" si="5"/>
        <v>0</v>
      </c>
      <c r="L24" s="507">
        <f t="shared" si="5"/>
        <v>0</v>
      </c>
      <c r="M24" s="507">
        <f t="shared" si="5"/>
        <v>0</v>
      </c>
      <c r="O24" s="319"/>
    </row>
    <row r="25" spans="1:13" ht="19.5" customHeight="1">
      <c r="A25" s="83">
        <v>2.1</v>
      </c>
      <c r="B25" s="192" t="s">
        <v>158</v>
      </c>
      <c r="C25" s="507">
        <f>D25+E25+H25+I25+J25+K25+M25+L25</f>
        <v>1264</v>
      </c>
      <c r="D25" s="580">
        <f>12+12+15+25+11+37+59+63+9+16</f>
        <v>259</v>
      </c>
      <c r="E25" s="507">
        <f>F25+G25</f>
        <v>939</v>
      </c>
      <c r="F25" s="579">
        <f>2+27+23+23+9+4+2+4+0</f>
        <v>94</v>
      </c>
      <c r="G25" s="579">
        <f>33+104+42+83+61+121+123+167+53+0+58</f>
        <v>845</v>
      </c>
      <c r="H25" s="579">
        <v>0</v>
      </c>
      <c r="I25" s="579">
        <f>8+18+12+2+10+2+6+0+1</f>
        <v>59</v>
      </c>
      <c r="J25" s="579">
        <v>7</v>
      </c>
      <c r="K25" s="579">
        <v>0</v>
      </c>
      <c r="L25" s="579">
        <v>0</v>
      </c>
      <c r="M25" s="579">
        <v>0</v>
      </c>
    </row>
    <row r="26" spans="1:13" ht="19.5" customHeight="1">
      <c r="A26" s="83">
        <v>2.2</v>
      </c>
      <c r="B26" s="192" t="s">
        <v>159</v>
      </c>
      <c r="C26" s="507">
        <f>D26+E26+H26+I26+J26+K26+M26+L26</f>
        <v>7</v>
      </c>
      <c r="D26" s="584">
        <v>4</v>
      </c>
      <c r="E26" s="507">
        <f>F26+G26</f>
        <v>0</v>
      </c>
      <c r="F26" s="583">
        <v>0</v>
      </c>
      <c r="G26" s="583">
        <v>0</v>
      </c>
      <c r="H26" s="583">
        <v>0</v>
      </c>
      <c r="I26" s="583">
        <v>3</v>
      </c>
      <c r="J26" s="583">
        <v>0</v>
      </c>
      <c r="K26" s="583">
        <v>0</v>
      </c>
      <c r="L26" s="583">
        <v>0</v>
      </c>
      <c r="M26" s="583">
        <v>0</v>
      </c>
    </row>
    <row r="27" spans="1:13" ht="19.5" customHeight="1">
      <c r="A27" s="83">
        <v>2.3</v>
      </c>
      <c r="B27" s="192" t="s">
        <v>160</v>
      </c>
      <c r="C27" s="507">
        <f>D27+E27+H27+I27+J27+K27+M27+L27</f>
        <v>356</v>
      </c>
      <c r="D27" s="580">
        <f>20+34+57+10+11+5+52+21+5+5</f>
        <v>220</v>
      </c>
      <c r="E27" s="507">
        <f>F27+G27</f>
        <v>97</v>
      </c>
      <c r="F27" s="579">
        <v>5</v>
      </c>
      <c r="G27" s="579">
        <f>17+16+1+1+6+50+1</f>
        <v>92</v>
      </c>
      <c r="H27" s="579">
        <v>0</v>
      </c>
      <c r="I27" s="579">
        <v>17</v>
      </c>
      <c r="J27" s="579">
        <v>22</v>
      </c>
      <c r="K27" s="579">
        <v>0</v>
      </c>
      <c r="L27" s="579">
        <v>0</v>
      </c>
      <c r="M27" s="579">
        <v>0</v>
      </c>
    </row>
    <row r="28" spans="1:13" s="76" customFormat="1" ht="24.75" customHeight="1">
      <c r="A28" s="391" t="s">
        <v>110</v>
      </c>
      <c r="B28" s="193" t="s">
        <v>302</v>
      </c>
      <c r="C28" s="397">
        <f>(C17+C18+C19+C20+C21)*100/C16</f>
        <v>76.77092347632588</v>
      </c>
      <c r="D28" s="397">
        <f aca="true" t="shared" si="6" ref="D28:M28">(D17+D18+D19+D20+D21)*100/D16</f>
        <v>70.187265917603</v>
      </c>
      <c r="E28" s="397">
        <f t="shared" si="6"/>
        <v>70.07223942208462</v>
      </c>
      <c r="F28" s="397">
        <f t="shared" si="6"/>
        <v>55.072463768115945</v>
      </c>
      <c r="G28" s="397">
        <f t="shared" si="6"/>
        <v>71.22222222222223</v>
      </c>
      <c r="H28" s="397">
        <f t="shared" si="6"/>
        <v>86.66666666666667</v>
      </c>
      <c r="I28" s="397">
        <f t="shared" si="6"/>
        <v>87.22826086956522</v>
      </c>
      <c r="J28" s="397">
        <f t="shared" si="6"/>
        <v>49.66887417218543</v>
      </c>
      <c r="K28" s="397" t="e">
        <f t="shared" si="6"/>
        <v>#DIV/0!</v>
      </c>
      <c r="L28" s="397">
        <f t="shared" si="6"/>
        <v>0</v>
      </c>
      <c r="M28" s="397">
        <f t="shared" si="6"/>
        <v>50</v>
      </c>
    </row>
    <row r="29" spans="1:13" s="76" customFormat="1" ht="15.75" customHeight="1">
      <c r="A29" s="194"/>
      <c r="B29" s="195"/>
      <c r="C29" s="395"/>
      <c r="D29" s="395"/>
      <c r="E29" s="395"/>
      <c r="F29" s="395"/>
      <c r="G29" s="395"/>
      <c r="H29" s="395"/>
      <c r="I29" s="395"/>
      <c r="J29" s="395"/>
      <c r="K29" s="395"/>
      <c r="L29" s="424"/>
      <c r="M29" s="424" t="s">
        <v>107</v>
      </c>
    </row>
    <row r="30" spans="1:13" s="173" customFormat="1" ht="17.25" customHeight="1" hidden="1">
      <c r="A30" s="89"/>
      <c r="B30" s="89" t="s">
        <v>221</v>
      </c>
      <c r="C30" s="196"/>
      <c r="D30" s="196"/>
      <c r="E30" s="196"/>
      <c r="F30" s="197"/>
      <c r="G30" s="178"/>
      <c r="H30" s="178"/>
      <c r="J30" s="1203"/>
      <c r="K30" s="1203"/>
      <c r="L30" s="1203"/>
      <c r="M30" s="1203"/>
    </row>
    <row r="31" spans="1:12" s="92" customFormat="1" ht="21.75" customHeight="1" hidden="1">
      <c r="A31" s="81"/>
      <c r="B31" s="89" t="s">
        <v>222</v>
      </c>
      <c r="C31" s="89"/>
      <c r="D31" s="89"/>
      <c r="E31" s="89"/>
      <c r="F31" s="89"/>
      <c r="G31" s="89"/>
      <c r="H31" s="89"/>
      <c r="I31" s="1217"/>
      <c r="J31" s="1217"/>
      <c r="K31" s="1217"/>
      <c r="L31" s="1217"/>
    </row>
    <row r="32" spans="1:12" s="92" customFormat="1" ht="21.75" customHeight="1">
      <c r="A32" s="81"/>
      <c r="B32" s="89"/>
      <c r="C32" s="428"/>
      <c r="D32" s="428"/>
      <c r="E32" s="428"/>
      <c r="F32" s="428"/>
      <c r="G32" s="428"/>
      <c r="H32" s="428"/>
      <c r="I32" s="428"/>
      <c r="J32" s="428"/>
      <c r="K32" s="428"/>
      <c r="L32" s="428"/>
    </row>
    <row r="33" spans="1:10" s="92" customFormat="1" ht="21.75" customHeight="1">
      <c r="A33" s="1217"/>
      <c r="B33" s="1217"/>
      <c r="C33" s="198"/>
      <c r="D33" s="198"/>
      <c r="E33" s="198"/>
      <c r="I33" s="1217"/>
      <c r="J33" s="1217"/>
    </row>
    <row r="34" spans="1:10" s="92" customFormat="1" ht="21.75" customHeight="1">
      <c r="A34" s="1217"/>
      <c r="B34" s="1217"/>
      <c r="C34" s="451">
        <f>C24+C16-C12</f>
        <v>0</v>
      </c>
      <c r="D34" s="198"/>
      <c r="E34" s="198"/>
      <c r="F34" s="92" t="s">
        <v>22</v>
      </c>
      <c r="I34" s="1222"/>
      <c r="J34" s="1222"/>
    </row>
    <row r="35" spans="1:14" s="92" customFormat="1" ht="21.75" customHeight="1">
      <c r="A35" s="199"/>
      <c r="B35" s="199"/>
      <c r="C35" s="451">
        <f>C27+C26+C25+C23+C22+C21+C20+C19+C18+C17-C12</f>
        <v>0</v>
      </c>
      <c r="D35" s="451">
        <f aca="true" t="shared" si="7" ref="D35:M35">D24+D16-D12</f>
        <v>0</v>
      </c>
      <c r="E35" s="451">
        <f t="shared" si="7"/>
        <v>0</v>
      </c>
      <c r="F35" s="451">
        <f t="shared" si="7"/>
        <v>0</v>
      </c>
      <c r="G35" s="451">
        <f t="shared" si="7"/>
        <v>0</v>
      </c>
      <c r="H35" s="451">
        <f t="shared" si="7"/>
        <v>0</v>
      </c>
      <c r="I35" s="451">
        <f t="shared" si="7"/>
        <v>0</v>
      </c>
      <c r="J35" s="451">
        <f t="shared" si="7"/>
        <v>0</v>
      </c>
      <c r="K35" s="451">
        <f t="shared" si="7"/>
        <v>0</v>
      </c>
      <c r="L35" s="451">
        <f t="shared" si="7"/>
        <v>0</v>
      </c>
      <c r="M35" s="451">
        <f t="shared" si="7"/>
        <v>0</v>
      </c>
      <c r="N35" s="451"/>
    </row>
    <row r="36" s="92" customFormat="1" ht="19.5" customHeight="1"/>
    <row r="37" spans="1:13" ht="24" customHeight="1">
      <c r="A37" s="1221"/>
      <c r="B37" s="1221"/>
      <c r="C37" s="92"/>
      <c r="D37" s="92"/>
      <c r="E37" s="92"/>
      <c r="F37" s="92"/>
      <c r="G37" s="92"/>
      <c r="H37" s="92"/>
      <c r="I37" s="1221"/>
      <c r="J37" s="1221"/>
      <c r="K37" s="92"/>
      <c r="L37" s="92"/>
      <c r="M37" s="92"/>
    </row>
    <row r="38" spans="1:13" ht="17.25" customHeight="1">
      <c r="A38" s="1218"/>
      <c r="B38" s="1218"/>
      <c r="C38" s="92"/>
      <c r="D38" s="92"/>
      <c r="E38" s="92"/>
      <c r="F38" s="92"/>
      <c r="G38" s="92"/>
      <c r="H38" s="92"/>
      <c r="I38" s="1218"/>
      <c r="J38" s="1218"/>
      <c r="K38" s="92"/>
      <c r="L38" s="92"/>
      <c r="M38" s="92"/>
    </row>
    <row r="39" spans="1:13" ht="17.25" customHeight="1">
      <c r="A39" s="1218"/>
      <c r="B39" s="1218"/>
      <c r="C39" s="92"/>
      <c r="D39" s="92"/>
      <c r="E39" s="92"/>
      <c r="F39" s="92"/>
      <c r="G39" s="92"/>
      <c r="H39" s="92"/>
      <c r="I39" s="1218"/>
      <c r="J39" s="1218"/>
      <c r="K39" s="92"/>
      <c r="L39" s="92"/>
      <c r="M39" s="92"/>
    </row>
    <row r="40" spans="1:13" ht="17.25" customHeight="1">
      <c r="A40" s="1218"/>
      <c r="B40" s="1218"/>
      <c r="C40" s="92"/>
      <c r="D40" s="92"/>
      <c r="E40" s="92"/>
      <c r="F40" s="92"/>
      <c r="G40" s="92"/>
      <c r="H40" s="92"/>
      <c r="I40" s="1218"/>
      <c r="J40" s="1218"/>
      <c r="K40" s="92"/>
      <c r="L40" s="92"/>
      <c r="M40" s="92"/>
    </row>
    <row r="41" spans="1:13" ht="17.25" customHeight="1">
      <c r="A41" s="1218"/>
      <c r="B41" s="1218"/>
      <c r="C41" s="92"/>
      <c r="D41" s="92"/>
      <c r="E41" s="92"/>
      <c r="F41" s="92"/>
      <c r="G41" s="92"/>
      <c r="H41" s="92"/>
      <c r="I41" s="1218"/>
      <c r="J41" s="1218"/>
      <c r="K41" s="92"/>
      <c r="L41" s="92"/>
      <c r="M41" s="92"/>
    </row>
    <row r="42" spans="1:13" ht="15">
      <c r="A42" s="92"/>
      <c r="B42" s="92"/>
      <c r="C42" s="92"/>
      <c r="D42" s="92"/>
      <c r="E42" s="92"/>
      <c r="F42" s="92"/>
      <c r="G42" s="92"/>
      <c r="H42" s="92"/>
      <c r="I42" s="1218"/>
      <c r="J42" s="1218"/>
      <c r="K42" s="92"/>
      <c r="L42" s="92"/>
      <c r="M42" s="92"/>
    </row>
    <row r="43" spans="1:13" ht="15">
      <c r="A43" s="92"/>
      <c r="B43" s="92"/>
      <c r="C43" s="92"/>
      <c r="D43" s="92"/>
      <c r="E43" s="92"/>
      <c r="F43" s="92"/>
      <c r="G43" s="92"/>
      <c r="H43" s="92"/>
      <c r="I43" s="94"/>
      <c r="J43" s="94"/>
      <c r="K43" s="92"/>
      <c r="L43" s="92"/>
      <c r="M43" s="92"/>
    </row>
    <row r="44" spans="1:13" ht="17.25">
      <c r="A44" s="92"/>
      <c r="B44" s="1221"/>
      <c r="C44" s="1221"/>
      <c r="D44" s="1221"/>
      <c r="E44" s="1221"/>
      <c r="F44" s="1221"/>
      <c r="G44" s="90"/>
      <c r="H44" s="90"/>
      <c r="I44" s="92"/>
      <c r="J44" s="92"/>
      <c r="K44" s="200"/>
      <c r="L44" s="92"/>
      <c r="M44" s="92"/>
    </row>
    <row r="45" spans="1:13" ht="15.75">
      <c r="A45" s="92"/>
      <c r="B45" s="1218"/>
      <c r="C45" s="1218"/>
      <c r="D45" s="1218"/>
      <c r="E45" s="1218"/>
      <c r="F45" s="1218"/>
      <c r="G45" s="94"/>
      <c r="H45" s="94"/>
      <c r="I45" s="92"/>
      <c r="J45" s="92"/>
      <c r="K45" s="201"/>
      <c r="L45" s="92"/>
      <c r="M45" s="92"/>
    </row>
    <row r="46" spans="1:13" ht="15">
      <c r="A46" s="92"/>
      <c r="B46" s="1218"/>
      <c r="C46" s="1218"/>
      <c r="D46" s="1218"/>
      <c r="E46" s="1218"/>
      <c r="F46" s="1218"/>
      <c r="G46" s="94"/>
      <c r="H46" s="94"/>
      <c r="I46" s="92"/>
      <c r="J46" s="92"/>
      <c r="K46" s="92"/>
      <c r="L46" s="92"/>
      <c r="M46" s="92"/>
    </row>
    <row r="47" spans="1:13" ht="15">
      <c r="A47" s="92"/>
      <c r="B47" s="1218"/>
      <c r="C47" s="1218"/>
      <c r="D47" s="1218"/>
      <c r="E47" s="1218"/>
      <c r="F47" s="1218"/>
      <c r="G47" s="94"/>
      <c r="H47" s="94"/>
      <c r="I47" s="92"/>
      <c r="J47" s="92"/>
      <c r="K47" s="92"/>
      <c r="L47" s="92"/>
      <c r="M47" s="92"/>
    </row>
    <row r="48" spans="1:13" ht="15">
      <c r="A48" s="92"/>
      <c r="B48" s="1218"/>
      <c r="C48" s="1218"/>
      <c r="D48" s="1218"/>
      <c r="E48" s="1218"/>
      <c r="F48" s="1218"/>
      <c r="G48" s="94"/>
      <c r="H48" s="94"/>
      <c r="I48" s="92"/>
      <c r="J48" s="92"/>
      <c r="K48" s="92"/>
      <c r="L48" s="92"/>
      <c r="M48" s="92"/>
    </row>
    <row r="49" spans="1:13" ht="15">
      <c r="A49" s="92"/>
      <c r="B49" s="92"/>
      <c r="C49" s="92"/>
      <c r="D49" s="92"/>
      <c r="E49" s="92"/>
      <c r="F49" s="92"/>
      <c r="G49" s="92"/>
      <c r="H49" s="92"/>
      <c r="I49" s="92"/>
      <c r="J49" s="92"/>
      <c r="K49" s="92"/>
      <c r="L49" s="92"/>
      <c r="M49" s="92"/>
    </row>
    <row r="50" spans="1:13" ht="15.75">
      <c r="A50" s="92"/>
      <c r="B50" s="164"/>
      <c r="C50" s="92"/>
      <c r="D50" s="92"/>
      <c r="E50" s="92"/>
      <c r="F50" s="92"/>
      <c r="G50" s="92"/>
      <c r="H50" s="92"/>
      <c r="I50" s="92"/>
      <c r="J50" s="92"/>
      <c r="K50" s="92"/>
      <c r="L50" s="92"/>
      <c r="M50" s="92"/>
    </row>
    <row r="51" spans="1:13" ht="15">
      <c r="A51" s="92"/>
      <c r="B51" s="92"/>
      <c r="C51" s="92"/>
      <c r="D51" s="92"/>
      <c r="E51" s="92"/>
      <c r="F51" s="92"/>
      <c r="G51" s="92"/>
      <c r="H51" s="92"/>
      <c r="I51" s="92"/>
      <c r="J51" s="92"/>
      <c r="K51" s="92"/>
      <c r="L51" s="92"/>
      <c r="M51" s="92"/>
    </row>
    <row r="52" spans="1:13" ht="15">
      <c r="A52" s="92"/>
      <c r="B52" s="92"/>
      <c r="C52" s="92"/>
      <c r="D52" s="92"/>
      <c r="E52" s="92"/>
      <c r="F52" s="92"/>
      <c r="G52" s="92"/>
      <c r="H52" s="92"/>
      <c r="I52" s="92"/>
      <c r="J52" s="92"/>
      <c r="K52" s="92"/>
      <c r="L52" s="92"/>
      <c r="M52" s="92"/>
    </row>
    <row r="53" spans="1:13" ht="15">
      <c r="A53" s="92"/>
      <c r="B53" s="92"/>
      <c r="C53" s="92"/>
      <c r="D53" s="92"/>
      <c r="E53" s="92"/>
      <c r="F53" s="92"/>
      <c r="G53" s="92"/>
      <c r="H53" s="92"/>
      <c r="I53" s="92"/>
      <c r="J53" s="92"/>
      <c r="K53" s="92"/>
      <c r="L53" s="92"/>
      <c r="M53" s="92"/>
    </row>
    <row r="54" spans="1:13" ht="15">
      <c r="A54" s="92"/>
      <c r="B54" s="92"/>
      <c r="C54" s="92"/>
      <c r="D54" s="92"/>
      <c r="E54" s="92"/>
      <c r="F54" s="92"/>
      <c r="G54" s="92"/>
      <c r="H54" s="92"/>
      <c r="I54" s="92"/>
      <c r="J54" s="92"/>
      <c r="K54" s="92"/>
      <c r="L54" s="92"/>
      <c r="M54" s="92"/>
    </row>
    <row r="55" spans="1:13" ht="15">
      <c r="A55" s="92"/>
      <c r="B55" s="92"/>
      <c r="C55" s="92"/>
      <c r="D55" s="92"/>
      <c r="E55" s="92"/>
      <c r="F55" s="92"/>
      <c r="G55" s="92"/>
      <c r="H55" s="92"/>
      <c r="I55" s="92"/>
      <c r="J55" s="92"/>
      <c r="K55" s="92"/>
      <c r="L55" s="92"/>
      <c r="M55" s="92"/>
    </row>
    <row r="56" spans="1:13" ht="15">
      <c r="A56" s="92"/>
      <c r="B56" s="92"/>
      <c r="C56" s="92"/>
      <c r="D56" s="92"/>
      <c r="E56" s="92"/>
      <c r="F56" s="92"/>
      <c r="G56" s="92"/>
      <c r="H56" s="92"/>
      <c r="I56" s="92"/>
      <c r="J56" s="92"/>
      <c r="K56" s="92"/>
      <c r="L56" s="92"/>
      <c r="M56" s="92"/>
    </row>
    <row r="57" spans="1:13" ht="15">
      <c r="A57" s="92"/>
      <c r="B57" s="92"/>
      <c r="C57" s="92"/>
      <c r="D57" s="92"/>
      <c r="E57" s="92"/>
      <c r="F57" s="92"/>
      <c r="G57" s="92"/>
      <c r="H57" s="92"/>
      <c r="I57" s="92"/>
      <c r="J57" s="92"/>
      <c r="K57" s="92"/>
      <c r="L57" s="92"/>
      <c r="M57" s="92"/>
    </row>
    <row r="58" spans="1:13" ht="15">
      <c r="A58" s="92"/>
      <c r="B58" s="92"/>
      <c r="C58" s="92"/>
      <c r="D58" s="92"/>
      <c r="E58" s="92"/>
      <c r="F58" s="92"/>
      <c r="G58" s="92"/>
      <c r="H58" s="92"/>
      <c r="I58" s="92"/>
      <c r="J58" s="92"/>
      <c r="K58" s="92"/>
      <c r="L58" s="92"/>
      <c r="M58" s="92"/>
    </row>
    <row r="59" spans="1:13" ht="15">
      <c r="A59" s="92"/>
      <c r="B59" s="92"/>
      <c r="C59" s="92"/>
      <c r="D59" s="92"/>
      <c r="E59" s="92"/>
      <c r="F59" s="92"/>
      <c r="G59" s="92"/>
      <c r="H59" s="92"/>
      <c r="I59" s="92"/>
      <c r="J59" s="92"/>
      <c r="K59" s="92"/>
      <c r="L59" s="92"/>
      <c r="M59" s="92"/>
    </row>
    <row r="60" spans="1:13" ht="15">
      <c r="A60" s="92"/>
      <c r="B60" s="92"/>
      <c r="C60" s="92"/>
      <c r="D60" s="92"/>
      <c r="E60" s="92"/>
      <c r="F60" s="92"/>
      <c r="G60" s="92"/>
      <c r="H60" s="92"/>
      <c r="I60" s="92"/>
      <c r="J60" s="92"/>
      <c r="K60" s="92"/>
      <c r="L60" s="92"/>
      <c r="M60" s="92"/>
    </row>
    <row r="61" spans="1:13" ht="15">
      <c r="A61" s="92"/>
      <c r="B61" s="92"/>
      <c r="C61" s="92"/>
      <c r="D61" s="92"/>
      <c r="E61" s="92"/>
      <c r="F61" s="92"/>
      <c r="G61" s="92"/>
      <c r="H61" s="92"/>
      <c r="I61" s="92"/>
      <c r="J61" s="92"/>
      <c r="K61" s="92"/>
      <c r="L61" s="92"/>
      <c r="M61" s="92"/>
    </row>
    <row r="62" spans="1:13" ht="15">
      <c r="A62" s="92"/>
      <c r="B62" s="92"/>
      <c r="C62" s="92"/>
      <c r="D62" s="92"/>
      <c r="E62" s="92"/>
      <c r="F62" s="92"/>
      <c r="G62" s="92"/>
      <c r="H62" s="92"/>
      <c r="I62" s="92"/>
      <c r="J62" s="92"/>
      <c r="K62" s="92"/>
      <c r="L62" s="92"/>
      <c r="M62" s="92"/>
    </row>
    <row r="63" spans="1:13" ht="15">
      <c r="A63" s="92"/>
      <c r="B63" s="92"/>
      <c r="C63" s="92"/>
      <c r="D63" s="92"/>
      <c r="E63" s="92"/>
      <c r="F63" s="92"/>
      <c r="G63" s="92"/>
      <c r="H63" s="92"/>
      <c r="I63" s="92"/>
      <c r="J63" s="92"/>
      <c r="K63" s="92"/>
      <c r="L63" s="92"/>
      <c r="M63" s="92"/>
    </row>
    <row r="64" spans="1:13" ht="15">
      <c r="A64" s="92"/>
      <c r="B64" s="92"/>
      <c r="C64" s="92"/>
      <c r="D64" s="92"/>
      <c r="E64" s="92"/>
      <c r="F64" s="92"/>
      <c r="G64" s="92"/>
      <c r="H64" s="92"/>
      <c r="I64" s="92"/>
      <c r="J64" s="92"/>
      <c r="K64" s="92"/>
      <c r="L64" s="92"/>
      <c r="M64" s="92"/>
    </row>
    <row r="65" spans="1:13" ht="15">
      <c r="A65" s="92"/>
      <c r="B65" s="92"/>
      <c r="C65" s="92"/>
      <c r="D65" s="92"/>
      <c r="E65" s="92"/>
      <c r="F65" s="92"/>
      <c r="G65" s="92"/>
      <c r="H65" s="92"/>
      <c r="I65" s="92"/>
      <c r="J65" s="92"/>
      <c r="K65" s="92"/>
      <c r="L65" s="92"/>
      <c r="M65" s="92"/>
    </row>
    <row r="66" spans="1:13" ht="15">
      <c r="A66" s="92"/>
      <c r="B66" s="92"/>
      <c r="C66" s="92"/>
      <c r="D66" s="92"/>
      <c r="E66" s="92"/>
      <c r="F66" s="92"/>
      <c r="G66" s="92"/>
      <c r="H66" s="92"/>
      <c r="I66" s="92"/>
      <c r="J66" s="92"/>
      <c r="K66" s="92"/>
      <c r="L66" s="92"/>
      <c r="M66" s="92"/>
    </row>
  </sheetData>
  <sheetProtection/>
  <mergeCells count="51">
    <mergeCell ref="I38:J38"/>
    <mergeCell ref="I37:J37"/>
    <mergeCell ref="J30:M30"/>
    <mergeCell ref="K31:L31"/>
    <mergeCell ref="I34:J34"/>
    <mergeCell ref="I39:J39"/>
    <mergeCell ref="B48:F48"/>
    <mergeCell ref="B45:F45"/>
    <mergeCell ref="B46:F46"/>
    <mergeCell ref="B47:F47"/>
    <mergeCell ref="P9:Q9"/>
    <mergeCell ref="K8:K10"/>
    <mergeCell ref="L8:L10"/>
    <mergeCell ref="M8:M10"/>
    <mergeCell ref="J8:J10"/>
    <mergeCell ref="I42:J42"/>
    <mergeCell ref="B44:F44"/>
    <mergeCell ref="A37:B37"/>
    <mergeCell ref="A40:B40"/>
    <mergeCell ref="I31:J31"/>
    <mergeCell ref="A41:B41"/>
    <mergeCell ref="I41:J41"/>
    <mergeCell ref="A34:B34"/>
    <mergeCell ref="I40:J40"/>
    <mergeCell ref="A33:B33"/>
    <mergeCell ref="I33:J33"/>
    <mergeCell ref="K4:M4"/>
    <mergeCell ref="A39:B39"/>
    <mergeCell ref="A11:B11"/>
    <mergeCell ref="A38:B38"/>
    <mergeCell ref="K5:M5"/>
    <mergeCell ref="C7:C10"/>
    <mergeCell ref="E7:M7"/>
    <mergeCell ref="I8:I10"/>
    <mergeCell ref="K6:M6"/>
    <mergeCell ref="A7:B10"/>
    <mergeCell ref="A3:C3"/>
    <mergeCell ref="D2:I2"/>
    <mergeCell ref="D3:I3"/>
    <mergeCell ref="A2:B2"/>
    <mergeCell ref="K2:M2"/>
    <mergeCell ref="K3:M3"/>
    <mergeCell ref="E9:E10"/>
    <mergeCell ref="F9:G9"/>
    <mergeCell ref="A4:B4"/>
    <mergeCell ref="A5:B5"/>
    <mergeCell ref="D4:I4"/>
    <mergeCell ref="H8:H10"/>
    <mergeCell ref="D5:I5"/>
    <mergeCell ref="E8:G8"/>
    <mergeCell ref="D8:D10"/>
  </mergeCells>
  <printOptions/>
  <pageMargins left="0.22" right="0" top="0" bottom="0" header="0.23"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4"/>
  </sheetPr>
  <dimension ref="A1:G33"/>
  <sheetViews>
    <sheetView zoomScalePageLayoutView="0" workbookViewId="0" topLeftCell="A7">
      <selection activeCell="E26" sqref="E26:G26"/>
    </sheetView>
  </sheetViews>
  <sheetFormatPr defaultColWidth="9.00390625" defaultRowHeight="15.75"/>
  <cols>
    <col min="1" max="1" width="5.75390625" style="0" customWidth="1"/>
    <col min="2" max="2" width="33.875" style="0" customWidth="1"/>
    <col min="3" max="3" width="16.25390625" style="0" customWidth="1"/>
    <col min="4" max="4" width="16.125" style="0" customWidth="1"/>
    <col min="5" max="5" width="16.625" style="0" customWidth="1"/>
    <col min="6" max="6" width="18.25390625" style="0" customWidth="1"/>
    <col min="7" max="7" width="21.25390625" style="0" customWidth="1"/>
  </cols>
  <sheetData>
    <row r="1" spans="1:7" ht="15.75">
      <c r="A1" s="802" t="s">
        <v>661</v>
      </c>
      <c r="B1" s="802"/>
      <c r="C1" s="802"/>
      <c r="D1" s="468"/>
      <c r="E1" s="468"/>
      <c r="F1" s="802" t="s">
        <v>662</v>
      </c>
      <c r="G1" s="802"/>
    </row>
    <row r="2" spans="1:7" ht="15.75">
      <c r="A2" s="815" t="s">
        <v>663</v>
      </c>
      <c r="B2" s="815"/>
      <c r="C2" s="815"/>
      <c r="D2" s="468"/>
      <c r="E2" s="468"/>
      <c r="F2" s="802" t="s">
        <v>664</v>
      </c>
      <c r="G2" s="802"/>
    </row>
    <row r="3" spans="1:7" ht="15.75">
      <c r="A3" s="815"/>
      <c r="B3" s="815"/>
      <c r="C3" s="815"/>
      <c r="D3" s="468"/>
      <c r="E3" s="468"/>
      <c r="F3" s="802"/>
      <c r="G3" s="802"/>
    </row>
    <row r="4" spans="1:7" ht="18.75">
      <c r="A4" s="804" t="s">
        <v>665</v>
      </c>
      <c r="B4" s="804"/>
      <c r="C4" s="804"/>
      <c r="D4" s="804"/>
      <c r="E4" s="804"/>
      <c r="F4" s="804"/>
      <c r="G4" s="804"/>
    </row>
    <row r="5" spans="1:7" ht="15.75">
      <c r="A5" s="468"/>
      <c r="B5" s="467"/>
      <c r="C5" s="468"/>
      <c r="D5" s="468"/>
      <c r="E5" s="468"/>
      <c r="F5" s="468"/>
      <c r="G5" s="468"/>
    </row>
    <row r="6" spans="1:7" ht="45.75" customHeight="1">
      <c r="A6" s="805" t="s">
        <v>666</v>
      </c>
      <c r="B6" s="805" t="s">
        <v>294</v>
      </c>
      <c r="C6" s="469" t="s">
        <v>667</v>
      </c>
      <c r="D6" s="470" t="s">
        <v>668</v>
      </c>
      <c r="E6" s="470" t="s">
        <v>669</v>
      </c>
      <c r="F6" s="470" t="s">
        <v>670</v>
      </c>
      <c r="G6" s="470" t="s">
        <v>671</v>
      </c>
    </row>
    <row r="7" spans="1:7" ht="15.75">
      <c r="A7" s="807"/>
      <c r="B7" s="807"/>
      <c r="C7" s="471">
        <v>1</v>
      </c>
      <c r="D7" s="471">
        <v>2</v>
      </c>
      <c r="E7" s="471">
        <v>3</v>
      </c>
      <c r="F7" s="471">
        <v>4</v>
      </c>
      <c r="G7" s="471">
        <v>5</v>
      </c>
    </row>
    <row r="8" spans="1:7" ht="15.75">
      <c r="A8" s="783" t="s">
        <v>165</v>
      </c>
      <c r="B8" s="783"/>
      <c r="C8" s="472"/>
      <c r="D8" s="472"/>
      <c r="E8" s="472"/>
      <c r="F8" s="472"/>
      <c r="G8" s="472"/>
    </row>
    <row r="9" spans="1:7" ht="15.75">
      <c r="A9" s="473" t="s">
        <v>14</v>
      </c>
      <c r="B9" s="474" t="s">
        <v>672</v>
      </c>
      <c r="C9" s="498">
        <f>C10+C11</f>
        <v>7445</v>
      </c>
      <c r="D9" s="498">
        <f>D10+D11</f>
        <v>6619</v>
      </c>
      <c r="E9" s="498">
        <f>E10+E11</f>
        <v>303</v>
      </c>
      <c r="F9" s="498">
        <f>F10+F11</f>
        <v>478</v>
      </c>
      <c r="G9" s="498">
        <f>G10+G11</f>
        <v>45</v>
      </c>
    </row>
    <row r="10" spans="1:7" ht="15.75">
      <c r="A10" s="475">
        <v>1</v>
      </c>
      <c r="B10" s="476" t="s">
        <v>673</v>
      </c>
      <c r="C10" s="498">
        <f>D10+E10+F10+G10</f>
        <v>2696</v>
      </c>
      <c r="D10" s="477">
        <f>69+15+292+442+241+397+120+262+148+140+203</f>
        <v>2329</v>
      </c>
      <c r="E10" s="477">
        <f>1+55+6+8+22+7+4+27+0</f>
        <v>130</v>
      </c>
      <c r="F10" s="477">
        <f>3+18+2+20+26+79+29+0+33+10</f>
        <v>220</v>
      </c>
      <c r="G10" s="477">
        <f>17+0</f>
        <v>17</v>
      </c>
    </row>
    <row r="11" spans="1:7" ht="15.75">
      <c r="A11" s="475">
        <v>2</v>
      </c>
      <c r="B11" s="476" t="s">
        <v>674</v>
      </c>
      <c r="C11" s="498">
        <f>D11+E11+F11+G11</f>
        <v>4749</v>
      </c>
      <c r="D11" s="477">
        <f>263+317+172+511+494+503+292+373+1247+118</f>
        <v>4290</v>
      </c>
      <c r="E11" s="477">
        <f>22+4+2+50+25+6+34+17+13</f>
        <v>173</v>
      </c>
      <c r="F11" s="477">
        <f>13+27+10+30+79+11+60+15+6+7</f>
        <v>258</v>
      </c>
      <c r="G11" s="477">
        <v>28</v>
      </c>
    </row>
    <row r="12" spans="1:7" ht="15.75">
      <c r="A12" s="478" t="s">
        <v>15</v>
      </c>
      <c r="B12" s="474" t="s">
        <v>163</v>
      </c>
      <c r="C12" s="498">
        <f>C13+C21</f>
        <v>7445</v>
      </c>
      <c r="D12" s="498">
        <f>D13+D21</f>
        <v>6619</v>
      </c>
      <c r="E12" s="498">
        <f>E13+E21</f>
        <v>303</v>
      </c>
      <c r="F12" s="498">
        <f>F13+F21</f>
        <v>478</v>
      </c>
      <c r="G12" s="498">
        <f>G13+G21</f>
        <v>45</v>
      </c>
    </row>
    <row r="13" spans="1:7" ht="15.75">
      <c r="A13" s="478">
        <v>1</v>
      </c>
      <c r="B13" s="474" t="s">
        <v>24</v>
      </c>
      <c r="C13" s="498">
        <f>SUM(C14:C20)</f>
        <v>6344</v>
      </c>
      <c r="D13" s="498">
        <f>SUM(D14:D20)</f>
        <v>5741</v>
      </c>
      <c r="E13" s="498">
        <f>SUM(E14:E20)</f>
        <v>230</v>
      </c>
      <c r="F13" s="498">
        <f>SUM(F14:F20)</f>
        <v>332</v>
      </c>
      <c r="G13" s="498">
        <f>SUM(G14:G20)</f>
        <v>41</v>
      </c>
    </row>
    <row r="14" spans="1:7" ht="15.75">
      <c r="A14" s="479" t="s">
        <v>675</v>
      </c>
      <c r="B14" s="476" t="s">
        <v>676</v>
      </c>
      <c r="C14" s="498">
        <f>D14+E14+F14+G14</f>
        <v>4602</v>
      </c>
      <c r="D14" s="477">
        <f>114+1173+318+326+447+469+506+136+283+207+277</f>
        <v>4256</v>
      </c>
      <c r="E14" s="477">
        <f>16+0+17+29+2+22+40+4+2</f>
        <v>132</v>
      </c>
      <c r="F14" s="477">
        <f>5+8+3+58+1+56+19+10+25+8</f>
        <v>193</v>
      </c>
      <c r="G14" s="477">
        <v>21</v>
      </c>
    </row>
    <row r="15" spans="1:7" ht="15.75">
      <c r="A15" s="479" t="s">
        <v>677</v>
      </c>
      <c r="B15" s="476" t="s">
        <v>25</v>
      </c>
      <c r="C15" s="498">
        <f aca="true" t="shared" si="0" ref="C15:C20">D15+E15+F15+G15</f>
        <v>36</v>
      </c>
      <c r="D15" s="477">
        <v>36</v>
      </c>
      <c r="E15" s="477">
        <v>0</v>
      </c>
      <c r="F15" s="477">
        <v>0</v>
      </c>
      <c r="G15" s="477">
        <v>0</v>
      </c>
    </row>
    <row r="16" spans="1:7" ht="15.75">
      <c r="A16" s="479" t="s">
        <v>678</v>
      </c>
      <c r="B16" s="476" t="s">
        <v>679</v>
      </c>
      <c r="C16" s="498">
        <f t="shared" si="0"/>
        <v>87</v>
      </c>
      <c r="D16" s="477">
        <v>78</v>
      </c>
      <c r="E16" s="477">
        <v>4</v>
      </c>
      <c r="F16" s="477">
        <v>3</v>
      </c>
      <c r="G16" s="477">
        <v>2</v>
      </c>
    </row>
    <row r="17" spans="1:7" ht="15.75">
      <c r="A17" s="479" t="s">
        <v>680</v>
      </c>
      <c r="B17" s="476" t="s">
        <v>292</v>
      </c>
      <c r="C17" s="498">
        <f t="shared" si="0"/>
        <v>0</v>
      </c>
      <c r="D17" s="477">
        <v>0</v>
      </c>
      <c r="E17" s="477">
        <v>0</v>
      </c>
      <c r="F17" s="477">
        <v>0</v>
      </c>
      <c r="G17" s="477">
        <v>0</v>
      </c>
    </row>
    <row r="18" spans="1:7" ht="15.75">
      <c r="A18" s="479" t="s">
        <v>681</v>
      </c>
      <c r="B18" s="476" t="s">
        <v>682</v>
      </c>
      <c r="C18" s="498">
        <f t="shared" si="0"/>
        <v>13</v>
      </c>
      <c r="D18" s="477">
        <v>12</v>
      </c>
      <c r="E18" s="477">
        <v>0</v>
      </c>
      <c r="F18" s="477">
        <v>1</v>
      </c>
      <c r="G18" s="477">
        <v>0</v>
      </c>
    </row>
    <row r="19" spans="1:7" ht="15.75">
      <c r="A19" s="479" t="s">
        <v>683</v>
      </c>
      <c r="B19" s="476" t="s">
        <v>684</v>
      </c>
      <c r="C19" s="498">
        <f t="shared" si="0"/>
        <v>1449</v>
      </c>
      <c r="D19" s="477">
        <f>143+73+67+147+97+226+127+285+17+1+36</f>
        <v>1219</v>
      </c>
      <c r="E19" s="477">
        <f>3+15+12+10+27+1+23</f>
        <v>91</v>
      </c>
      <c r="F19" s="477">
        <f>9+1+7+52+33+10+2+6+2</f>
        <v>122</v>
      </c>
      <c r="G19" s="477">
        <v>17</v>
      </c>
    </row>
    <row r="20" spans="1:7" ht="15.75">
      <c r="A20" s="479" t="s">
        <v>685</v>
      </c>
      <c r="B20" s="476" t="s">
        <v>280</v>
      </c>
      <c r="C20" s="498">
        <f t="shared" si="0"/>
        <v>157</v>
      </c>
      <c r="D20" s="477">
        <f>128+9+3</f>
        <v>140</v>
      </c>
      <c r="E20" s="477">
        <v>3</v>
      </c>
      <c r="F20" s="477">
        <v>13</v>
      </c>
      <c r="G20" s="477">
        <v>1</v>
      </c>
    </row>
    <row r="21" spans="1:7" ht="15.75">
      <c r="A21" s="480">
        <v>2</v>
      </c>
      <c r="B21" s="474" t="s">
        <v>686</v>
      </c>
      <c r="C21" s="498">
        <f>SUM(C22:C24)</f>
        <v>1101</v>
      </c>
      <c r="D21" s="498">
        <f>SUM(D22:D24)</f>
        <v>878</v>
      </c>
      <c r="E21" s="498">
        <f>SUM(E22:E24)</f>
        <v>73</v>
      </c>
      <c r="F21" s="498">
        <f>SUM(F22:F24)</f>
        <v>146</v>
      </c>
      <c r="G21" s="498">
        <f>SUM(G22:G24)</f>
        <v>4</v>
      </c>
    </row>
    <row r="22" spans="1:7" ht="15.75">
      <c r="A22" s="479" t="s">
        <v>687</v>
      </c>
      <c r="B22" s="476" t="s">
        <v>28</v>
      </c>
      <c r="C22" s="498">
        <f>D22+E22+F22+G22</f>
        <v>1054</v>
      </c>
      <c r="D22" s="477">
        <f>50+170+152+61+76+45+108+61+38+59+30</f>
        <v>850</v>
      </c>
      <c r="E22" s="477">
        <f>9+1+28+0+2+17+5+3+0</f>
        <v>65</v>
      </c>
      <c r="F22" s="477">
        <f>3+9+12+4+3+44+23+32+5</f>
        <v>135</v>
      </c>
      <c r="G22" s="477">
        <v>4</v>
      </c>
    </row>
    <row r="23" spans="1:7" ht="15.75">
      <c r="A23" s="479" t="s">
        <v>688</v>
      </c>
      <c r="B23" s="476" t="s">
        <v>26</v>
      </c>
      <c r="C23" s="498">
        <f>D23+E23+F23+G23</f>
        <v>1</v>
      </c>
      <c r="D23" s="477">
        <v>1</v>
      </c>
      <c r="E23" s="477">
        <v>0</v>
      </c>
      <c r="F23" s="477">
        <v>0</v>
      </c>
      <c r="G23" s="477">
        <v>0</v>
      </c>
    </row>
    <row r="24" spans="1:7" ht="15.75">
      <c r="A24" s="479" t="s">
        <v>689</v>
      </c>
      <c r="B24" s="476" t="s">
        <v>27</v>
      </c>
      <c r="C24" s="498">
        <f>D24+E24+F24+G24</f>
        <v>46</v>
      </c>
      <c r="D24" s="477">
        <v>27</v>
      </c>
      <c r="E24" s="477">
        <v>8</v>
      </c>
      <c r="F24" s="477">
        <v>11</v>
      </c>
      <c r="G24" s="477">
        <v>0</v>
      </c>
    </row>
    <row r="25" spans="1:7" ht="30" customHeight="1">
      <c r="A25" s="40" t="s">
        <v>110</v>
      </c>
      <c r="B25" s="481" t="s">
        <v>690</v>
      </c>
      <c r="C25" s="482">
        <f>(C14+C15+C16+C17+C18)/C13*100</f>
        <v>74.68474148802018</v>
      </c>
      <c r="D25" s="482">
        <f>(D14+D15+D16+D17+D18)/D13*100</f>
        <v>76.3281658247692</v>
      </c>
      <c r="E25" s="482">
        <f>(E14+E15+E16+E17+E18)/E13*100</f>
        <v>59.130434782608695</v>
      </c>
      <c r="F25" s="482">
        <f>(F14+F15+F16+F17+F18)/F13*100</f>
        <v>59.337349397590366</v>
      </c>
      <c r="G25" s="482">
        <f>(G14+G15+G16+G17+G18)/G13*100</f>
        <v>56.09756097560976</v>
      </c>
    </row>
    <row r="26" spans="1:7" ht="16.5">
      <c r="A26" s="813" t="s">
        <v>384</v>
      </c>
      <c r="B26" s="813"/>
      <c r="C26" s="813"/>
      <c r="D26" s="483"/>
      <c r="E26" s="813" t="s">
        <v>384</v>
      </c>
      <c r="F26" s="813"/>
      <c r="G26" s="813"/>
    </row>
    <row r="27" spans="1:7" ht="16.5">
      <c r="A27" s="801" t="s">
        <v>43</v>
      </c>
      <c r="B27" s="801"/>
      <c r="C27" s="801"/>
      <c r="D27" s="485"/>
      <c r="E27" s="801" t="s">
        <v>12</v>
      </c>
      <c r="F27" s="801"/>
      <c r="G27" s="801"/>
    </row>
    <row r="28" spans="1:7" ht="16.5">
      <c r="A28" s="484"/>
      <c r="B28" s="484"/>
      <c r="C28" s="484"/>
      <c r="D28" s="485"/>
      <c r="E28" s="801" t="s">
        <v>656</v>
      </c>
      <c r="F28" s="801"/>
      <c r="G28" s="801"/>
    </row>
    <row r="29" spans="1:7" ht="16.5">
      <c r="A29" s="484"/>
      <c r="B29" s="484"/>
      <c r="C29" s="484"/>
      <c r="D29" s="485"/>
      <c r="E29" s="484"/>
      <c r="F29" s="484"/>
      <c r="G29" s="484"/>
    </row>
    <row r="30" spans="1:7" ht="16.5">
      <c r="A30" s="484"/>
      <c r="B30" s="484"/>
      <c r="C30" s="484"/>
      <c r="D30" s="485"/>
      <c r="E30" s="484"/>
      <c r="F30" s="484"/>
      <c r="G30" s="484"/>
    </row>
    <row r="31" spans="1:7" ht="16.5">
      <c r="A31" s="801" t="s">
        <v>390</v>
      </c>
      <c r="B31" s="801"/>
      <c r="C31" s="801"/>
      <c r="D31" s="485"/>
      <c r="E31" s="801" t="s">
        <v>2</v>
      </c>
      <c r="F31" s="801"/>
      <c r="G31" s="801"/>
    </row>
    <row r="32" spans="1:7" ht="16.5">
      <c r="A32" s="484"/>
      <c r="B32" s="484"/>
      <c r="C32" s="484"/>
      <c r="D32" s="485"/>
      <c r="E32" s="484"/>
      <c r="F32" s="484"/>
      <c r="G32" s="484"/>
    </row>
    <row r="33" spans="1:7" ht="39.75" customHeight="1">
      <c r="A33" s="816" t="s">
        <v>691</v>
      </c>
      <c r="B33" s="816"/>
      <c r="C33" s="816"/>
      <c r="D33" s="816"/>
      <c r="E33" s="816"/>
      <c r="F33" s="816"/>
      <c r="G33" s="816"/>
    </row>
  </sheetData>
  <sheetProtection/>
  <mergeCells count="16">
    <mergeCell ref="A33:G33"/>
    <mergeCell ref="E28:G28"/>
    <mergeCell ref="A8:B8"/>
    <mergeCell ref="A26:C26"/>
    <mergeCell ref="E26:G26"/>
    <mergeCell ref="A27:C27"/>
    <mergeCell ref="E27:G27"/>
    <mergeCell ref="A31:C31"/>
    <mergeCell ref="E31:G31"/>
    <mergeCell ref="A4:G4"/>
    <mergeCell ref="A6:A7"/>
    <mergeCell ref="B6:B7"/>
    <mergeCell ref="A1:C1"/>
    <mergeCell ref="F1:G1"/>
    <mergeCell ref="A2:C3"/>
    <mergeCell ref="F2:G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33"/>
  <sheetViews>
    <sheetView zoomScalePageLayoutView="0" workbookViewId="0" topLeftCell="A13">
      <selection activeCell="E26" sqref="E26:G26"/>
    </sheetView>
  </sheetViews>
  <sheetFormatPr defaultColWidth="9.00390625" defaultRowHeight="15.75"/>
  <cols>
    <col min="1" max="1" width="4.50390625" style="0" customWidth="1"/>
    <col min="2" max="2" width="33.00390625" style="0" customWidth="1"/>
    <col min="3" max="3" width="17.375" style="0" customWidth="1"/>
    <col min="4" max="4" width="17.125" style="0" customWidth="1"/>
    <col min="5" max="5" width="16.75390625" style="0" customWidth="1"/>
    <col min="6" max="6" width="18.375" style="0" customWidth="1"/>
    <col min="7" max="7" width="20.125" style="0" customWidth="1"/>
  </cols>
  <sheetData>
    <row r="1" spans="1:7" ht="15.75">
      <c r="A1" s="802" t="s">
        <v>661</v>
      </c>
      <c r="B1" s="802"/>
      <c r="C1" s="802"/>
      <c r="D1" s="468"/>
      <c r="E1" s="468"/>
      <c r="F1" s="802" t="s">
        <v>662</v>
      </c>
      <c r="G1" s="802"/>
    </row>
    <row r="2" spans="1:7" ht="15.75">
      <c r="A2" s="815" t="s">
        <v>663</v>
      </c>
      <c r="B2" s="815"/>
      <c r="C2" s="815"/>
      <c r="D2" s="468"/>
      <c r="E2" s="468"/>
      <c r="F2" s="802" t="s">
        <v>664</v>
      </c>
      <c r="G2" s="802"/>
    </row>
    <row r="3" spans="1:7" ht="15.75">
      <c r="A3" s="815"/>
      <c r="B3" s="815"/>
      <c r="C3" s="815"/>
      <c r="D3" s="468"/>
      <c r="E3" s="468"/>
      <c r="F3" s="802"/>
      <c r="G3" s="802"/>
    </row>
    <row r="4" spans="1:7" ht="18.75">
      <c r="A4" s="804" t="s">
        <v>665</v>
      </c>
      <c r="B4" s="804"/>
      <c r="C4" s="804"/>
      <c r="D4" s="804"/>
      <c r="E4" s="804"/>
      <c r="F4" s="804"/>
      <c r="G4" s="804"/>
    </row>
    <row r="5" spans="1:7" ht="15.75">
      <c r="A5" s="468"/>
      <c r="B5" s="467"/>
      <c r="C5" s="468"/>
      <c r="D5" s="468"/>
      <c r="E5" s="468"/>
      <c r="F5" s="468"/>
      <c r="G5" s="468"/>
    </row>
    <row r="6" spans="1:7" ht="25.5">
      <c r="A6" s="805" t="s">
        <v>666</v>
      </c>
      <c r="B6" s="805" t="s">
        <v>294</v>
      </c>
      <c r="C6" s="469" t="s">
        <v>667</v>
      </c>
      <c r="D6" s="470" t="s">
        <v>668</v>
      </c>
      <c r="E6" s="470" t="s">
        <v>669</v>
      </c>
      <c r="F6" s="470" t="s">
        <v>670</v>
      </c>
      <c r="G6" s="470" t="s">
        <v>671</v>
      </c>
    </row>
    <row r="7" spans="1:7" ht="15.75">
      <c r="A7" s="807"/>
      <c r="B7" s="807"/>
      <c r="C7" s="471">
        <v>1</v>
      </c>
      <c r="D7" s="471">
        <v>3</v>
      </c>
      <c r="E7" s="471">
        <v>4</v>
      </c>
      <c r="F7" s="471">
        <v>5</v>
      </c>
      <c r="G7" s="471">
        <v>6</v>
      </c>
    </row>
    <row r="8" spans="1:7" ht="15.75">
      <c r="A8" s="473" t="s">
        <v>14</v>
      </c>
      <c r="B8" s="474" t="s">
        <v>672</v>
      </c>
      <c r="C8" s="498">
        <f>C9+C10</f>
        <v>7445</v>
      </c>
      <c r="D8" s="498">
        <f>D9+D10</f>
        <v>6619</v>
      </c>
      <c r="E8" s="498">
        <f>E9+E10</f>
        <v>303</v>
      </c>
      <c r="F8" s="498">
        <f>F9+F10</f>
        <v>478</v>
      </c>
      <c r="G8" s="498">
        <f>G9+G10</f>
        <v>45</v>
      </c>
    </row>
    <row r="9" spans="1:7" ht="15.75">
      <c r="A9" s="475">
        <v>1</v>
      </c>
      <c r="B9" s="476" t="s">
        <v>673</v>
      </c>
      <c r="C9" s="498">
        <f>D9+E9+F9+G9</f>
        <v>2696</v>
      </c>
      <c r="D9" s="477">
        <f>69+15+292+442+241+397+120+262+148+140+203</f>
        <v>2329</v>
      </c>
      <c r="E9" s="477">
        <f>1+55+6+8+22+7+4+27+0</f>
        <v>130</v>
      </c>
      <c r="F9" s="477">
        <f>3+18+2+20+26+79+29+0+33+10</f>
        <v>220</v>
      </c>
      <c r="G9" s="477">
        <f>17+0</f>
        <v>17</v>
      </c>
    </row>
    <row r="10" spans="1:7" ht="15.75">
      <c r="A10" s="475">
        <v>2</v>
      </c>
      <c r="B10" s="476" t="s">
        <v>674</v>
      </c>
      <c r="C10" s="498">
        <f>D10+E10+F10+G10</f>
        <v>4749</v>
      </c>
      <c r="D10" s="477">
        <f>263+317+172+511+494+503+292+373+1247+118</f>
        <v>4290</v>
      </c>
      <c r="E10" s="477">
        <f>22+4+2+50+25+6+34+17+13</f>
        <v>173</v>
      </c>
      <c r="F10" s="477">
        <f>13+27+10+30+79+11+60+15+6+7</f>
        <v>258</v>
      </c>
      <c r="G10" s="477">
        <v>28</v>
      </c>
    </row>
    <row r="11" spans="1:7" ht="15.75">
      <c r="A11" s="478" t="s">
        <v>15</v>
      </c>
      <c r="B11" s="474" t="s">
        <v>163</v>
      </c>
      <c r="C11" s="498">
        <f>C12+C20</f>
        <v>7445</v>
      </c>
      <c r="D11" s="498">
        <f>D12+D20</f>
        <v>6619</v>
      </c>
      <c r="E11" s="498">
        <f>E12+E20</f>
        <v>303</v>
      </c>
      <c r="F11" s="498">
        <f>F12+F20</f>
        <v>478</v>
      </c>
      <c r="G11" s="498">
        <f>G12+G20</f>
        <v>45</v>
      </c>
    </row>
    <row r="12" spans="1:7" ht="15.75">
      <c r="A12" s="478">
        <v>1</v>
      </c>
      <c r="B12" s="474" t="s">
        <v>24</v>
      </c>
      <c r="C12" s="498">
        <f>SUM(C13:C19)</f>
        <v>6344</v>
      </c>
      <c r="D12" s="498">
        <f>SUM(D13:D19)</f>
        <v>5741</v>
      </c>
      <c r="E12" s="498">
        <f>SUM(E13:E19)</f>
        <v>230</v>
      </c>
      <c r="F12" s="498">
        <f>SUM(F13:F19)</f>
        <v>332</v>
      </c>
      <c r="G12" s="498">
        <f>SUM(G13:G19)</f>
        <v>41</v>
      </c>
    </row>
    <row r="13" spans="1:7" ht="15.75">
      <c r="A13" s="479" t="s">
        <v>675</v>
      </c>
      <c r="B13" s="476" t="s">
        <v>676</v>
      </c>
      <c r="C13" s="498">
        <f>D13+E13+F13+G13</f>
        <v>4602</v>
      </c>
      <c r="D13" s="477">
        <f>114+1173+318+326+447+469+506+136+283+207+277</f>
        <v>4256</v>
      </c>
      <c r="E13" s="477">
        <f>16+0+17+29+2+22+40+4+2</f>
        <v>132</v>
      </c>
      <c r="F13" s="477">
        <f>5+8+3+58+1+56+19+10+25+8</f>
        <v>193</v>
      </c>
      <c r="G13" s="477">
        <v>21</v>
      </c>
    </row>
    <row r="14" spans="1:7" ht="15.75">
      <c r="A14" s="479" t="s">
        <v>677</v>
      </c>
      <c r="B14" s="476" t="s">
        <v>25</v>
      </c>
      <c r="C14" s="498">
        <f aca="true" t="shared" si="0" ref="C14:C19">D14+E14+F14+G14</f>
        <v>36</v>
      </c>
      <c r="D14" s="477">
        <v>36</v>
      </c>
      <c r="E14" s="477">
        <v>0</v>
      </c>
      <c r="F14" s="477">
        <v>0</v>
      </c>
      <c r="G14" s="477">
        <v>0</v>
      </c>
    </row>
    <row r="15" spans="1:7" ht="15.75">
      <c r="A15" s="479" t="s">
        <v>678</v>
      </c>
      <c r="B15" s="476" t="s">
        <v>679</v>
      </c>
      <c r="C15" s="498">
        <f t="shared" si="0"/>
        <v>87</v>
      </c>
      <c r="D15" s="477">
        <v>78</v>
      </c>
      <c r="E15" s="477">
        <v>4</v>
      </c>
      <c r="F15" s="477">
        <v>3</v>
      </c>
      <c r="G15" s="477">
        <v>2</v>
      </c>
    </row>
    <row r="16" spans="1:7" ht="15.75">
      <c r="A16" s="479" t="s">
        <v>680</v>
      </c>
      <c r="B16" s="476" t="s">
        <v>292</v>
      </c>
      <c r="C16" s="498">
        <f t="shared" si="0"/>
        <v>0</v>
      </c>
      <c r="D16" s="477">
        <v>0</v>
      </c>
      <c r="E16" s="477">
        <v>0</v>
      </c>
      <c r="F16" s="477">
        <v>0</v>
      </c>
      <c r="G16" s="477">
        <v>0</v>
      </c>
    </row>
    <row r="17" spans="1:7" ht="15.75">
      <c r="A17" s="479" t="s">
        <v>681</v>
      </c>
      <c r="B17" s="476" t="s">
        <v>682</v>
      </c>
      <c r="C17" s="498">
        <f t="shared" si="0"/>
        <v>13</v>
      </c>
      <c r="D17" s="477">
        <v>12</v>
      </c>
      <c r="E17" s="477">
        <v>0</v>
      </c>
      <c r="F17" s="477">
        <v>1</v>
      </c>
      <c r="G17" s="477">
        <v>0</v>
      </c>
    </row>
    <row r="18" spans="1:7" ht="15.75">
      <c r="A18" s="479" t="s">
        <v>683</v>
      </c>
      <c r="B18" s="476" t="s">
        <v>684</v>
      </c>
      <c r="C18" s="498">
        <f t="shared" si="0"/>
        <v>1449</v>
      </c>
      <c r="D18" s="477">
        <f>143+73+67+147+97+226+127+285+17+1+36</f>
        <v>1219</v>
      </c>
      <c r="E18" s="477">
        <f>3+15+12+10+27+1+23</f>
        <v>91</v>
      </c>
      <c r="F18" s="477">
        <f>9+1+7+52+33+10+2+6+2</f>
        <v>122</v>
      </c>
      <c r="G18" s="477">
        <v>17</v>
      </c>
    </row>
    <row r="19" spans="1:7" ht="15.75">
      <c r="A19" s="479" t="s">
        <v>685</v>
      </c>
      <c r="B19" s="476" t="s">
        <v>280</v>
      </c>
      <c r="C19" s="498">
        <f t="shared" si="0"/>
        <v>157</v>
      </c>
      <c r="D19" s="477">
        <f>128+9+3</f>
        <v>140</v>
      </c>
      <c r="E19" s="477">
        <v>3</v>
      </c>
      <c r="F19" s="477">
        <v>13</v>
      </c>
      <c r="G19" s="477">
        <v>1</v>
      </c>
    </row>
    <row r="20" spans="1:7" ht="15.75">
      <c r="A20" s="497">
        <v>2</v>
      </c>
      <c r="B20" s="474" t="s">
        <v>686</v>
      </c>
      <c r="C20" s="498">
        <f>SUM(C21:C24)</f>
        <v>1101</v>
      </c>
      <c r="D20" s="498">
        <f>SUM(D21:D24)</f>
        <v>878</v>
      </c>
      <c r="E20" s="498">
        <f>SUM(E21:E24)</f>
        <v>73</v>
      </c>
      <c r="F20" s="498">
        <f>SUM(F21:F24)</f>
        <v>146</v>
      </c>
      <c r="G20" s="498">
        <f>SUM(G21:G24)</f>
        <v>4</v>
      </c>
    </row>
    <row r="21" spans="1:7" ht="15.75">
      <c r="A21" s="479" t="s">
        <v>687</v>
      </c>
      <c r="B21" s="476" t="s">
        <v>28</v>
      </c>
      <c r="C21" s="498">
        <f>D21+E21+F21+G21</f>
        <v>1024</v>
      </c>
      <c r="D21" s="477">
        <f>50+170+152+61+76+45+108+61+38+59</f>
        <v>820</v>
      </c>
      <c r="E21" s="477">
        <f>9+1+28+0+2+17+5+3+0</f>
        <v>65</v>
      </c>
      <c r="F21" s="477">
        <f>3+9+12+4+3+44+23+32+5</f>
        <v>135</v>
      </c>
      <c r="G21" s="477">
        <v>4</v>
      </c>
    </row>
    <row r="22" spans="1:7" ht="15.75">
      <c r="A22" s="479" t="s">
        <v>688</v>
      </c>
      <c r="B22" s="476" t="s">
        <v>26</v>
      </c>
      <c r="C22" s="498">
        <f>D22+E22+F22+G22</f>
        <v>1</v>
      </c>
      <c r="D22" s="477">
        <v>1</v>
      </c>
      <c r="E22" s="477">
        <v>0</v>
      </c>
      <c r="F22" s="477">
        <v>0</v>
      </c>
      <c r="G22" s="477">
        <v>0</v>
      </c>
    </row>
    <row r="23" spans="1:7" ht="15.75">
      <c r="A23" s="479" t="s">
        <v>689</v>
      </c>
      <c r="B23" s="476" t="s">
        <v>27</v>
      </c>
      <c r="C23" s="498">
        <f>D23+E23+F23+G23</f>
        <v>46</v>
      </c>
      <c r="D23" s="477">
        <v>27</v>
      </c>
      <c r="E23" s="477">
        <v>8</v>
      </c>
      <c r="F23" s="477">
        <v>11</v>
      </c>
      <c r="G23" s="477">
        <v>0</v>
      </c>
    </row>
    <row r="24" spans="1:7" ht="15.75">
      <c r="A24" s="479" t="s">
        <v>728</v>
      </c>
      <c r="B24" s="476" t="s">
        <v>729</v>
      </c>
      <c r="C24" s="498">
        <f>D24+E24+F24+G24</f>
        <v>30</v>
      </c>
      <c r="D24" s="477">
        <v>30</v>
      </c>
      <c r="E24" s="477">
        <v>0</v>
      </c>
      <c r="F24" s="477">
        <v>0</v>
      </c>
      <c r="G24" s="477">
        <v>0</v>
      </c>
    </row>
    <row r="25" spans="1:7" ht="27.75" customHeight="1">
      <c r="A25" s="40" t="s">
        <v>110</v>
      </c>
      <c r="B25" s="481" t="s">
        <v>690</v>
      </c>
      <c r="C25" s="482">
        <f>(C13+C14+C15+C16+C17)/C12*100</f>
        <v>74.68474148802018</v>
      </c>
      <c r="D25" s="482">
        <f>(D13+D14+D15+D16+D17)/D12*100</f>
        <v>76.3281658247692</v>
      </c>
      <c r="E25" s="482">
        <f>(E13+E14+E15+E16+E17)/E12*100</f>
        <v>59.130434782608695</v>
      </c>
      <c r="F25" s="482">
        <f>(F13+F14+F15+F16+F17)/F12*100</f>
        <v>59.337349397590366</v>
      </c>
      <c r="G25" s="482">
        <f>(G13+G14+G15+G16+G17)/G12*100</f>
        <v>56.09756097560976</v>
      </c>
    </row>
    <row r="26" spans="1:7" ht="16.5">
      <c r="A26" s="813" t="s">
        <v>384</v>
      </c>
      <c r="B26" s="813"/>
      <c r="C26" s="813"/>
      <c r="D26" s="483"/>
      <c r="E26" s="813" t="s">
        <v>384</v>
      </c>
      <c r="F26" s="813"/>
      <c r="G26" s="813"/>
    </row>
    <row r="27" spans="1:7" ht="16.5">
      <c r="A27" s="801" t="s">
        <v>43</v>
      </c>
      <c r="B27" s="801"/>
      <c r="C27" s="801"/>
      <c r="D27" s="485"/>
      <c r="E27" s="801" t="s">
        <v>12</v>
      </c>
      <c r="F27" s="801"/>
      <c r="G27" s="801"/>
    </row>
    <row r="28" spans="1:7" ht="16.5">
      <c r="A28" s="484"/>
      <c r="B28" s="484"/>
      <c r="C28" s="484"/>
      <c r="D28" s="485"/>
      <c r="E28" s="801" t="s">
        <v>656</v>
      </c>
      <c r="F28" s="801"/>
      <c r="G28" s="801"/>
    </row>
    <row r="29" spans="1:7" ht="16.5">
      <c r="A29" s="484"/>
      <c r="B29" s="484"/>
      <c r="C29" s="484"/>
      <c r="D29" s="485"/>
      <c r="E29" s="484"/>
      <c r="F29" s="484"/>
      <c r="G29" s="484"/>
    </row>
    <row r="30" spans="1:7" ht="16.5">
      <c r="A30" s="484"/>
      <c r="B30" s="484"/>
      <c r="C30" s="484"/>
      <c r="D30" s="485"/>
      <c r="E30" s="484"/>
      <c r="F30" s="484"/>
      <c r="G30" s="484"/>
    </row>
    <row r="31" spans="1:7" ht="16.5">
      <c r="A31" s="801" t="s">
        <v>390</v>
      </c>
      <c r="B31" s="801"/>
      <c r="C31" s="801"/>
      <c r="D31" s="485"/>
      <c r="E31" s="801" t="s">
        <v>2</v>
      </c>
      <c r="F31" s="801"/>
      <c r="G31" s="801"/>
    </row>
    <row r="32" spans="1:7" ht="16.5">
      <c r="A32" s="484"/>
      <c r="B32" s="484"/>
      <c r="C32" s="484"/>
      <c r="D32" s="485"/>
      <c r="E32" s="484"/>
      <c r="F32" s="484"/>
      <c r="G32" s="484"/>
    </row>
    <row r="33" spans="1:7" ht="38.25" customHeight="1">
      <c r="A33" s="816" t="s">
        <v>691</v>
      </c>
      <c r="B33" s="816"/>
      <c r="C33" s="816"/>
      <c r="D33" s="816"/>
      <c r="E33" s="816"/>
      <c r="F33" s="816"/>
      <c r="G33" s="816"/>
    </row>
  </sheetData>
  <sheetProtection/>
  <mergeCells count="15">
    <mergeCell ref="A4:G4"/>
    <mergeCell ref="A6:A7"/>
    <mergeCell ref="B6:B7"/>
    <mergeCell ref="A1:C1"/>
    <mergeCell ref="F1:G1"/>
    <mergeCell ref="A2:C3"/>
    <mergeCell ref="F2:G3"/>
    <mergeCell ref="E28:G28"/>
    <mergeCell ref="A31:C31"/>
    <mergeCell ref="E31:G31"/>
    <mergeCell ref="A33:G33"/>
    <mergeCell ref="A26:C26"/>
    <mergeCell ref="E26:G26"/>
    <mergeCell ref="A27:C27"/>
    <mergeCell ref="E27:G27"/>
  </mergeCells>
  <printOptions/>
  <pageMargins left="0.25"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33"/>
  </sheetPr>
  <dimension ref="A1:L32"/>
  <sheetViews>
    <sheetView zoomScalePageLayoutView="0" workbookViewId="0" topLeftCell="A4">
      <selection activeCell="G26" sqref="G26:J26"/>
    </sheetView>
  </sheetViews>
  <sheetFormatPr defaultColWidth="9.00390625" defaultRowHeight="15.75"/>
  <cols>
    <col min="1" max="1" width="4.375" style="325" customWidth="1"/>
    <col min="2" max="2" width="26.25390625" style="325" customWidth="1"/>
    <col min="3" max="3" width="12.375" style="325" customWidth="1"/>
    <col min="4" max="4" width="11.625" style="325" customWidth="1"/>
    <col min="5" max="5" width="14.00390625" style="325" customWidth="1"/>
    <col min="6" max="6" width="13.625" style="325" customWidth="1"/>
    <col min="7" max="7" width="12.75390625" style="325" customWidth="1"/>
    <col min="8" max="8" width="11.625" style="325" customWidth="1"/>
    <col min="9" max="9" width="13.125" style="325" customWidth="1"/>
    <col min="10" max="10" width="13.375" style="325" customWidth="1"/>
    <col min="11" max="16384" width="9.00390625" style="325" customWidth="1"/>
  </cols>
  <sheetData>
    <row r="1" spans="1:12" ht="15.75">
      <c r="A1" s="291"/>
      <c r="B1" s="291"/>
      <c r="C1" s="291"/>
      <c r="D1" s="291"/>
      <c r="E1" s="291"/>
      <c r="F1" s="291"/>
      <c r="G1" s="291"/>
      <c r="H1" s="291"/>
      <c r="I1" s="291"/>
      <c r="J1" s="291"/>
      <c r="K1" s="291"/>
      <c r="L1" s="291"/>
    </row>
    <row r="2" spans="1:12" ht="16.5">
      <c r="A2" s="784" t="s">
        <v>623</v>
      </c>
      <c r="B2" s="784"/>
      <c r="C2" s="785" t="s">
        <v>624</v>
      </c>
      <c r="D2" s="785"/>
      <c r="E2" s="785"/>
      <c r="F2" s="785"/>
      <c r="G2" s="785"/>
      <c r="H2" s="785"/>
      <c r="I2" s="786" t="s">
        <v>381</v>
      </c>
      <c r="J2" s="786"/>
      <c r="K2" s="291"/>
      <c r="L2" s="291"/>
    </row>
    <row r="3" spans="1:12" ht="16.5">
      <c r="A3" s="784" t="s">
        <v>625</v>
      </c>
      <c r="B3" s="784"/>
      <c r="C3" s="785" t="s">
        <v>0</v>
      </c>
      <c r="D3" s="785"/>
      <c r="E3" s="785"/>
      <c r="F3" s="785"/>
      <c r="G3" s="785"/>
      <c r="H3" s="785"/>
      <c r="I3" s="787" t="s">
        <v>388</v>
      </c>
      <c r="J3" s="787"/>
      <c r="K3" s="787"/>
      <c r="L3" s="291"/>
    </row>
    <row r="4" spans="1:12" ht="15.75">
      <c r="A4" s="788" t="s">
        <v>486</v>
      </c>
      <c r="B4" s="788"/>
      <c r="C4" s="789" t="s">
        <v>1</v>
      </c>
      <c r="D4" s="789"/>
      <c r="E4" s="789"/>
      <c r="F4" s="789"/>
      <c r="G4" s="789"/>
      <c r="H4" s="789"/>
      <c r="I4" s="779" t="s">
        <v>382</v>
      </c>
      <c r="J4" s="779"/>
      <c r="K4" s="291"/>
      <c r="L4" s="291"/>
    </row>
    <row r="5" spans="1:12" ht="15.75">
      <c r="A5" s="780" t="s">
        <v>461</v>
      </c>
      <c r="B5" s="780"/>
      <c r="C5" s="781" t="s">
        <v>626</v>
      </c>
      <c r="D5" s="781"/>
      <c r="E5" s="781"/>
      <c r="F5" s="781"/>
      <c r="G5" s="781"/>
      <c r="H5" s="286"/>
      <c r="I5" s="787" t="s">
        <v>392</v>
      </c>
      <c r="J5" s="787"/>
      <c r="K5" s="787"/>
      <c r="L5" s="787"/>
    </row>
    <row r="6" spans="1:12" ht="18.75" customHeight="1">
      <c r="A6" s="784"/>
      <c r="B6" s="784"/>
      <c r="C6" s="306"/>
      <c r="D6" s="306"/>
      <c r="E6" s="306"/>
      <c r="F6" s="306"/>
      <c r="G6" s="306"/>
      <c r="H6" s="317"/>
      <c r="I6" s="782" t="s">
        <v>638</v>
      </c>
      <c r="J6" s="782"/>
      <c r="K6" s="291"/>
      <c r="L6" s="291"/>
    </row>
    <row r="7" spans="1:12" ht="27" customHeight="1">
      <c r="A7" s="774" t="s">
        <v>294</v>
      </c>
      <c r="B7" s="775"/>
      <c r="C7" s="773" t="s">
        <v>627</v>
      </c>
      <c r="D7" s="769"/>
      <c r="E7" s="769"/>
      <c r="F7" s="770" t="s">
        <v>628</v>
      </c>
      <c r="G7" s="771"/>
      <c r="H7" s="771"/>
      <c r="I7" s="773"/>
      <c r="J7" s="769" t="s">
        <v>629</v>
      </c>
      <c r="K7" s="341"/>
      <c r="L7" s="341"/>
    </row>
    <row r="8" spans="1:12" ht="15.75">
      <c r="A8" s="776"/>
      <c r="B8" s="777"/>
      <c r="C8" s="761" t="s">
        <v>630</v>
      </c>
      <c r="D8" s="763" t="s">
        <v>106</v>
      </c>
      <c r="E8" s="762"/>
      <c r="F8" s="770" t="s">
        <v>631</v>
      </c>
      <c r="G8" s="771"/>
      <c r="H8" s="773"/>
      <c r="I8" s="764" t="s">
        <v>632</v>
      </c>
      <c r="J8" s="769"/>
      <c r="K8" s="341"/>
      <c r="L8" s="341"/>
    </row>
    <row r="9" spans="1:12" ht="15.75">
      <c r="A9" s="776"/>
      <c r="B9" s="777"/>
      <c r="C9" s="761"/>
      <c r="D9" s="764" t="s">
        <v>633</v>
      </c>
      <c r="E9" s="764" t="s">
        <v>634</v>
      </c>
      <c r="F9" s="764" t="s">
        <v>146</v>
      </c>
      <c r="G9" s="769" t="s">
        <v>106</v>
      </c>
      <c r="H9" s="769"/>
      <c r="I9" s="765"/>
      <c r="J9" s="769"/>
      <c r="K9" s="341"/>
      <c r="L9" s="341"/>
    </row>
    <row r="10" spans="1:12" ht="45">
      <c r="A10" s="778"/>
      <c r="B10" s="772"/>
      <c r="C10" s="762"/>
      <c r="D10" s="767"/>
      <c r="E10" s="766"/>
      <c r="F10" s="766"/>
      <c r="G10" s="318" t="s">
        <v>635</v>
      </c>
      <c r="H10" s="318" t="s">
        <v>636</v>
      </c>
      <c r="I10" s="766"/>
      <c r="J10" s="769"/>
      <c r="K10" s="341"/>
      <c r="L10" s="341"/>
    </row>
    <row r="11" spans="1:12" ht="12.75" customHeight="1">
      <c r="A11" s="768" t="s">
        <v>105</v>
      </c>
      <c r="B11" s="756"/>
      <c r="C11" s="372">
        <v>1</v>
      </c>
      <c r="D11" s="372">
        <v>2</v>
      </c>
      <c r="E11" s="372">
        <v>3</v>
      </c>
      <c r="F11" s="372">
        <v>4</v>
      </c>
      <c r="G11" s="372">
        <v>5</v>
      </c>
      <c r="H11" s="372">
        <v>6</v>
      </c>
      <c r="I11" s="372">
        <v>7</v>
      </c>
      <c r="J11" s="372">
        <v>8</v>
      </c>
      <c r="K11" s="341"/>
      <c r="L11" s="291"/>
    </row>
    <row r="12" spans="1:12" ht="18" customHeight="1">
      <c r="A12" s="757" t="s">
        <v>637</v>
      </c>
      <c r="B12" s="758"/>
      <c r="C12" s="571">
        <f>C14+C13</f>
        <v>4</v>
      </c>
      <c r="D12" s="571">
        <f aca="true" t="shared" si="0" ref="D12:J12">D14+D13</f>
        <v>3</v>
      </c>
      <c r="E12" s="571">
        <f t="shared" si="0"/>
        <v>1</v>
      </c>
      <c r="F12" s="571">
        <f t="shared" si="0"/>
        <v>4</v>
      </c>
      <c r="G12" s="571">
        <f t="shared" si="0"/>
        <v>4</v>
      </c>
      <c r="H12" s="571">
        <f t="shared" si="0"/>
        <v>0</v>
      </c>
      <c r="I12" s="571">
        <f t="shared" si="0"/>
        <v>0</v>
      </c>
      <c r="J12" s="571">
        <f t="shared" si="0"/>
        <v>2</v>
      </c>
      <c r="K12" s="341"/>
      <c r="L12" s="291"/>
    </row>
    <row r="13" spans="1:12" ht="21.75" customHeight="1">
      <c r="A13" s="292" t="s">
        <v>14</v>
      </c>
      <c r="B13" s="293" t="s">
        <v>578</v>
      </c>
      <c r="C13" s="571">
        <f>D13+E13</f>
        <v>0</v>
      </c>
      <c r="D13" s="345">
        <v>0</v>
      </c>
      <c r="E13" s="345">
        <v>0</v>
      </c>
      <c r="F13" s="571">
        <f>G13+H13</f>
        <v>0</v>
      </c>
      <c r="G13" s="345">
        <v>0</v>
      </c>
      <c r="H13" s="344">
        <v>0</v>
      </c>
      <c r="I13" s="344">
        <v>0</v>
      </c>
      <c r="J13" s="344">
        <v>0</v>
      </c>
      <c r="K13" s="341"/>
      <c r="L13" s="291"/>
    </row>
    <row r="14" spans="1:12" ht="18.75" customHeight="1">
      <c r="A14" s="573" t="s">
        <v>15</v>
      </c>
      <c r="B14" s="568" t="s">
        <v>125</v>
      </c>
      <c r="C14" s="571">
        <f>C15+C16+C17+C18+C19+C20+C21+C22+C23+C24</f>
        <v>4</v>
      </c>
      <c r="D14" s="571">
        <f aca="true" t="shared" si="1" ref="D14:J14">D15+D16+D17+D18+D19+D20+D21+D22+D23+D24</f>
        <v>3</v>
      </c>
      <c r="E14" s="571">
        <f t="shared" si="1"/>
        <v>1</v>
      </c>
      <c r="F14" s="571">
        <f t="shared" si="1"/>
        <v>4</v>
      </c>
      <c r="G14" s="571">
        <f t="shared" si="1"/>
        <v>4</v>
      </c>
      <c r="H14" s="571">
        <f t="shared" si="1"/>
        <v>0</v>
      </c>
      <c r="I14" s="571">
        <f t="shared" si="1"/>
        <v>0</v>
      </c>
      <c r="J14" s="571">
        <f t="shared" si="1"/>
        <v>2</v>
      </c>
      <c r="K14" s="341"/>
      <c r="L14" s="291"/>
    </row>
    <row r="15" spans="1:12" ht="18.75" customHeight="1">
      <c r="A15" s="214">
        <v>1</v>
      </c>
      <c r="B15" s="425" t="s">
        <v>446</v>
      </c>
      <c r="C15" s="571">
        <f>D15+E15</f>
        <v>0</v>
      </c>
      <c r="D15" s="442">
        <v>0</v>
      </c>
      <c r="E15" s="443">
        <v>0</v>
      </c>
      <c r="F15" s="571">
        <f>G15+H15</f>
        <v>0</v>
      </c>
      <c r="G15" s="345">
        <v>0</v>
      </c>
      <c r="H15" s="344">
        <v>0</v>
      </c>
      <c r="I15" s="344">
        <v>0</v>
      </c>
      <c r="J15" s="344">
        <v>0</v>
      </c>
      <c r="K15" s="341"/>
      <c r="L15" s="291"/>
    </row>
    <row r="16" spans="1:12" ht="18" customHeight="1">
      <c r="A16" s="214">
        <v>2</v>
      </c>
      <c r="B16" s="425" t="s">
        <v>447</v>
      </c>
      <c r="C16" s="571">
        <f aca="true" t="shared" si="2" ref="C16:C24">D16+E16</f>
        <v>1</v>
      </c>
      <c r="D16" s="442">
        <v>0</v>
      </c>
      <c r="E16" s="443">
        <v>1</v>
      </c>
      <c r="F16" s="571">
        <f aca="true" t="shared" si="3" ref="F16:F24">G16+H16</f>
        <v>1</v>
      </c>
      <c r="G16" s="345">
        <v>1</v>
      </c>
      <c r="H16" s="344">
        <v>0</v>
      </c>
      <c r="I16" s="344">
        <v>0</v>
      </c>
      <c r="J16" s="344">
        <v>0</v>
      </c>
      <c r="K16" s="341"/>
      <c r="L16" s="291"/>
    </row>
    <row r="17" spans="1:12" ht="17.25" customHeight="1">
      <c r="A17" s="214">
        <v>3</v>
      </c>
      <c r="B17" s="425" t="s">
        <v>448</v>
      </c>
      <c r="C17" s="571">
        <f t="shared" si="2"/>
        <v>0</v>
      </c>
      <c r="D17" s="442">
        <v>0</v>
      </c>
      <c r="E17" s="443">
        <v>0</v>
      </c>
      <c r="F17" s="571">
        <f t="shared" si="3"/>
        <v>0</v>
      </c>
      <c r="G17" s="345">
        <v>0</v>
      </c>
      <c r="H17" s="344">
        <v>0</v>
      </c>
      <c r="I17" s="344">
        <v>0</v>
      </c>
      <c r="J17" s="344">
        <v>0</v>
      </c>
      <c r="K17" s="341"/>
      <c r="L17" s="291"/>
    </row>
    <row r="18" spans="1:12" ht="18" customHeight="1">
      <c r="A18" s="214">
        <v>4</v>
      </c>
      <c r="B18" s="425" t="s">
        <v>449</v>
      </c>
      <c r="C18" s="571">
        <f t="shared" si="2"/>
        <v>0</v>
      </c>
      <c r="D18" s="442">
        <v>0</v>
      </c>
      <c r="E18" s="443">
        <v>0</v>
      </c>
      <c r="F18" s="571">
        <f t="shared" si="3"/>
        <v>0</v>
      </c>
      <c r="G18" s="345">
        <v>0</v>
      </c>
      <c r="H18" s="344">
        <v>0</v>
      </c>
      <c r="I18" s="344">
        <v>0</v>
      </c>
      <c r="J18" s="344">
        <v>0</v>
      </c>
      <c r="K18" s="341"/>
      <c r="L18" s="291"/>
    </row>
    <row r="19" spans="1:12" ht="18" customHeight="1">
      <c r="A19" s="214">
        <v>5</v>
      </c>
      <c r="B19" s="425" t="s">
        <v>450</v>
      </c>
      <c r="C19" s="571">
        <f t="shared" si="2"/>
        <v>0</v>
      </c>
      <c r="D19" s="442">
        <v>0</v>
      </c>
      <c r="E19" s="443">
        <v>0</v>
      </c>
      <c r="F19" s="571">
        <f t="shared" si="3"/>
        <v>0</v>
      </c>
      <c r="G19" s="345">
        <v>0</v>
      </c>
      <c r="H19" s="344">
        <v>0</v>
      </c>
      <c r="I19" s="344">
        <v>0</v>
      </c>
      <c r="J19" s="344">
        <v>0</v>
      </c>
      <c r="K19" s="341"/>
      <c r="L19" s="291"/>
    </row>
    <row r="20" spans="1:12" ht="18" customHeight="1">
      <c r="A20" s="214">
        <v>6</v>
      </c>
      <c r="B20" s="425" t="s">
        <v>451</v>
      </c>
      <c r="C20" s="571">
        <f t="shared" si="2"/>
        <v>0</v>
      </c>
      <c r="D20" s="442">
        <v>0</v>
      </c>
      <c r="E20" s="443">
        <v>0</v>
      </c>
      <c r="F20" s="571">
        <f t="shared" si="3"/>
        <v>0</v>
      </c>
      <c r="G20" s="345">
        <v>0</v>
      </c>
      <c r="H20" s="344">
        <v>0</v>
      </c>
      <c r="I20" s="344">
        <v>0</v>
      </c>
      <c r="J20" s="344">
        <v>0</v>
      </c>
      <c r="K20" s="341"/>
      <c r="L20" s="291"/>
    </row>
    <row r="21" spans="1:12" ht="18" customHeight="1">
      <c r="A21" s="214">
        <v>7</v>
      </c>
      <c r="B21" s="425" t="s">
        <v>452</v>
      </c>
      <c r="C21" s="571">
        <f t="shared" si="2"/>
        <v>0</v>
      </c>
      <c r="D21" s="442">
        <v>0</v>
      </c>
      <c r="E21" s="443">
        <v>0</v>
      </c>
      <c r="F21" s="571">
        <f t="shared" si="3"/>
        <v>0</v>
      </c>
      <c r="G21" s="345">
        <v>0</v>
      </c>
      <c r="H21" s="344">
        <v>0</v>
      </c>
      <c r="I21" s="344">
        <v>0</v>
      </c>
      <c r="J21" s="344">
        <v>0</v>
      </c>
      <c r="K21" s="341"/>
      <c r="L21" s="291"/>
    </row>
    <row r="22" spans="1:12" ht="17.25" customHeight="1">
      <c r="A22" s="214">
        <v>8</v>
      </c>
      <c r="B22" s="425" t="s">
        <v>453</v>
      </c>
      <c r="C22" s="571">
        <f t="shared" si="2"/>
        <v>0</v>
      </c>
      <c r="D22" s="442">
        <v>0</v>
      </c>
      <c r="E22" s="443">
        <v>0</v>
      </c>
      <c r="F22" s="571">
        <f t="shared" si="3"/>
        <v>0</v>
      </c>
      <c r="G22" s="345">
        <v>0</v>
      </c>
      <c r="H22" s="344">
        <v>0</v>
      </c>
      <c r="I22" s="344">
        <v>0</v>
      </c>
      <c r="J22" s="344">
        <v>0</v>
      </c>
      <c r="K22" s="341"/>
      <c r="L22" s="291"/>
    </row>
    <row r="23" spans="1:12" ht="17.25" customHeight="1">
      <c r="A23" s="214">
        <v>9</v>
      </c>
      <c r="B23" s="425" t="s">
        <v>454</v>
      </c>
      <c r="C23" s="571">
        <f t="shared" si="2"/>
        <v>3</v>
      </c>
      <c r="D23" s="442">
        <v>3</v>
      </c>
      <c r="E23" s="443">
        <v>0</v>
      </c>
      <c r="F23" s="571">
        <f t="shared" si="3"/>
        <v>3</v>
      </c>
      <c r="G23" s="345">
        <v>3</v>
      </c>
      <c r="H23" s="344">
        <v>0</v>
      </c>
      <c r="I23" s="344">
        <v>0</v>
      </c>
      <c r="J23" s="344">
        <v>2</v>
      </c>
      <c r="K23" s="341"/>
      <c r="L23" s="291"/>
    </row>
    <row r="24" spans="1:12" ht="21.75" customHeight="1" thickBot="1">
      <c r="A24" s="300">
        <v>10</v>
      </c>
      <c r="B24" s="684" t="s">
        <v>455</v>
      </c>
      <c r="C24" s="685">
        <f t="shared" si="2"/>
        <v>0</v>
      </c>
      <c r="D24" s="686">
        <v>0</v>
      </c>
      <c r="E24" s="687">
        <v>0</v>
      </c>
      <c r="F24" s="685">
        <f t="shared" si="3"/>
        <v>0</v>
      </c>
      <c r="G24" s="688">
        <v>0</v>
      </c>
      <c r="H24" s="689">
        <v>0</v>
      </c>
      <c r="I24" s="689">
        <v>0</v>
      </c>
      <c r="J24" s="689">
        <v>0</v>
      </c>
      <c r="K24" s="291"/>
      <c r="L24" s="291"/>
    </row>
    <row r="25" spans="1:12" ht="5.25" customHeight="1" thickTop="1">
      <c r="A25" s="342"/>
      <c r="B25" s="342"/>
      <c r="C25" s="342"/>
      <c r="D25" s="278"/>
      <c r="E25" s="278"/>
      <c r="F25" s="278"/>
      <c r="G25" s="46"/>
      <c r="H25" s="46"/>
      <c r="I25" s="46"/>
      <c r="J25" s="46"/>
      <c r="K25" s="291"/>
      <c r="L25" s="291"/>
    </row>
    <row r="26" spans="1:12" ht="16.5">
      <c r="A26" s="759" t="s">
        <v>384</v>
      </c>
      <c r="B26" s="759"/>
      <c r="C26" s="759"/>
      <c r="D26" s="278"/>
      <c r="E26" s="278"/>
      <c r="F26" s="278"/>
      <c r="G26" s="755" t="s">
        <v>384</v>
      </c>
      <c r="H26" s="755"/>
      <c r="I26" s="755"/>
      <c r="J26" s="755"/>
      <c r="K26" s="291"/>
      <c r="L26" s="291"/>
    </row>
    <row r="27" spans="1:12" ht="15.75" customHeight="1">
      <c r="A27" s="789" t="s">
        <v>43</v>
      </c>
      <c r="B27" s="789"/>
      <c r="C27" s="789"/>
      <c r="D27" s="314"/>
      <c r="E27" s="291"/>
      <c r="F27" s="291"/>
      <c r="G27" s="760" t="s">
        <v>660</v>
      </c>
      <c r="H27" s="760"/>
      <c r="I27" s="760"/>
      <c r="J27" s="760"/>
      <c r="K27" s="291"/>
      <c r="L27" s="291"/>
    </row>
    <row r="28" spans="1:12" ht="15.75" customHeight="1">
      <c r="A28" s="343"/>
      <c r="B28" s="343"/>
      <c r="C28" s="343"/>
      <c r="D28" s="291"/>
      <c r="E28" s="291"/>
      <c r="F28" s="291"/>
      <c r="G28" s="760" t="s">
        <v>656</v>
      </c>
      <c r="H28" s="760"/>
      <c r="I28" s="760"/>
      <c r="J28" s="760"/>
      <c r="K28" s="291"/>
      <c r="L28" s="291"/>
    </row>
    <row r="29" spans="1:12" ht="15.75" customHeight="1">
      <c r="A29" s="291"/>
      <c r="B29" s="291"/>
      <c r="C29" s="291"/>
      <c r="D29" s="291"/>
      <c r="E29" s="291"/>
      <c r="F29" s="291"/>
      <c r="G29" s="279"/>
      <c r="H29" s="279"/>
      <c r="I29" s="279"/>
      <c r="J29" s="279"/>
      <c r="K29" s="291"/>
      <c r="L29" s="291"/>
    </row>
    <row r="30" spans="1:12" ht="15.75" customHeight="1">
      <c r="A30" s="291"/>
      <c r="B30" s="291"/>
      <c r="C30" s="291"/>
      <c r="D30" s="291"/>
      <c r="E30" s="291"/>
      <c r="F30" s="291"/>
      <c r="G30" s="279"/>
      <c r="H30" s="279"/>
      <c r="I30" s="279"/>
      <c r="J30" s="279"/>
      <c r="K30" s="291"/>
      <c r="L30" s="291"/>
    </row>
    <row r="31" spans="1:12" ht="15.75" customHeight="1">
      <c r="A31" s="291"/>
      <c r="B31" s="291"/>
      <c r="C31" s="291"/>
      <c r="D31" s="291"/>
      <c r="E31" s="291"/>
      <c r="F31" s="291"/>
      <c r="G31" s="279"/>
      <c r="H31" s="279"/>
      <c r="I31" s="279"/>
      <c r="J31" s="279"/>
      <c r="K31" s="291"/>
      <c r="L31" s="291"/>
    </row>
    <row r="32" spans="1:12" ht="16.5" customHeight="1">
      <c r="A32" s="754" t="s">
        <v>390</v>
      </c>
      <c r="B32" s="754"/>
      <c r="C32" s="754"/>
      <c r="D32" s="291"/>
      <c r="E32" s="291"/>
      <c r="F32" s="291"/>
      <c r="G32" s="760" t="s">
        <v>2</v>
      </c>
      <c r="H32" s="760"/>
      <c r="I32" s="760"/>
      <c r="J32" s="760"/>
      <c r="K32" s="291"/>
      <c r="L32" s="291"/>
    </row>
  </sheetData>
  <sheetProtection/>
  <mergeCells count="35">
    <mergeCell ref="A11:B11"/>
    <mergeCell ref="A12:B12"/>
    <mergeCell ref="A26:C26"/>
    <mergeCell ref="G32:J32"/>
    <mergeCell ref="A32:C32"/>
    <mergeCell ref="A27:C27"/>
    <mergeCell ref="G28:J28"/>
    <mergeCell ref="G26:J26"/>
    <mergeCell ref="G27:J27"/>
    <mergeCell ref="D9:D10"/>
    <mergeCell ref="E9:E10"/>
    <mergeCell ref="F9:F10"/>
    <mergeCell ref="G9:H9"/>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L5"/>
    <mergeCell ref="A2:B2"/>
    <mergeCell ref="C2:H2"/>
    <mergeCell ref="I2:J2"/>
    <mergeCell ref="A3:B3"/>
    <mergeCell ref="C3:H3"/>
    <mergeCell ref="I3:K3"/>
  </mergeCells>
  <printOptions/>
  <pageMargins left="0.25" right="0" top="0" bottom="0"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55"/>
  </sheetPr>
  <dimension ref="A1:M31"/>
  <sheetViews>
    <sheetView zoomScalePageLayoutView="0" workbookViewId="0" topLeftCell="A7">
      <selection activeCell="G25" sqref="G25:L25"/>
    </sheetView>
  </sheetViews>
  <sheetFormatPr defaultColWidth="9.00390625" defaultRowHeight="15.75"/>
  <cols>
    <col min="1" max="1" width="4.125" style="0" customWidth="1"/>
    <col min="2" max="2" width="21.875" style="0" customWidth="1"/>
    <col min="3" max="3" width="10.625" style="0" customWidth="1"/>
    <col min="4" max="4" width="10.50390625" style="0" customWidth="1"/>
    <col min="5" max="5" width="10.375" style="0" customWidth="1"/>
    <col min="6" max="7" width="10.25390625" style="0" customWidth="1"/>
    <col min="8" max="8" width="10.375" style="0" customWidth="1"/>
    <col min="9" max="9" width="10.00390625" style="0" customWidth="1"/>
    <col min="10" max="10" width="10.25390625" style="0" customWidth="1"/>
    <col min="11" max="11" width="9.375" style="0" customWidth="1"/>
    <col min="12" max="12" width="10.125" style="0" customWidth="1"/>
  </cols>
  <sheetData>
    <row r="1" spans="1:13" ht="16.5">
      <c r="A1" s="753" t="s">
        <v>611</v>
      </c>
      <c r="B1" s="753"/>
      <c r="C1" s="753"/>
      <c r="D1" s="748" t="s">
        <v>612</v>
      </c>
      <c r="E1" s="748"/>
      <c r="F1" s="748"/>
      <c r="G1" s="748"/>
      <c r="H1" s="748"/>
      <c r="I1" s="748"/>
      <c r="J1" s="287" t="s">
        <v>380</v>
      </c>
      <c r="K1" s="287"/>
      <c r="L1" s="287"/>
      <c r="M1" s="306"/>
    </row>
    <row r="2" spans="1:13" ht="16.5">
      <c r="A2" s="752" t="s">
        <v>370</v>
      </c>
      <c r="B2" s="752"/>
      <c r="C2" s="752"/>
      <c r="D2" s="785" t="s">
        <v>613</v>
      </c>
      <c r="E2" s="785"/>
      <c r="F2" s="785"/>
      <c r="G2" s="785"/>
      <c r="H2" s="785"/>
      <c r="I2" s="785"/>
      <c r="J2" s="751" t="s">
        <v>388</v>
      </c>
      <c r="K2" s="751"/>
      <c r="L2" s="751"/>
      <c r="M2" s="306"/>
    </row>
    <row r="3" spans="1:13" ht="16.5">
      <c r="A3" s="752" t="s">
        <v>368</v>
      </c>
      <c r="B3" s="752"/>
      <c r="C3" s="752"/>
      <c r="D3" s="785" t="s">
        <v>0</v>
      </c>
      <c r="E3" s="785"/>
      <c r="F3" s="785"/>
      <c r="G3" s="785"/>
      <c r="H3" s="785"/>
      <c r="I3" s="785"/>
      <c r="J3" s="288" t="s">
        <v>378</v>
      </c>
      <c r="K3" s="288"/>
      <c r="L3" s="288"/>
      <c r="M3" s="306"/>
    </row>
    <row r="4" spans="1:13" ht="15.75">
      <c r="A4" s="746" t="s">
        <v>372</v>
      </c>
      <c r="B4" s="746"/>
      <c r="C4" s="746"/>
      <c r="D4" s="789" t="s">
        <v>1</v>
      </c>
      <c r="E4" s="789"/>
      <c r="F4" s="789"/>
      <c r="G4" s="789"/>
      <c r="H4" s="789"/>
      <c r="I4" s="789"/>
      <c r="J4" s="787" t="s">
        <v>392</v>
      </c>
      <c r="K4" s="787"/>
      <c r="L4" s="787"/>
      <c r="M4" s="787"/>
    </row>
    <row r="5" spans="1:13" ht="15.75">
      <c r="A5" s="216"/>
      <c r="B5" s="216"/>
      <c r="C5" s="215"/>
      <c r="D5" s="215"/>
      <c r="E5" s="215"/>
      <c r="F5" s="306"/>
      <c r="G5" s="306"/>
      <c r="H5" s="306"/>
      <c r="I5" s="306"/>
      <c r="J5" s="290" t="s">
        <v>614</v>
      </c>
      <c r="K5" s="307"/>
      <c r="L5" s="307"/>
      <c r="M5" s="307"/>
    </row>
    <row r="6" spans="1:13" ht="23.25" customHeight="1">
      <c r="A6" s="774" t="s">
        <v>294</v>
      </c>
      <c r="B6" s="775"/>
      <c r="C6" s="741" t="s">
        <v>615</v>
      </c>
      <c r="D6" s="741"/>
      <c r="E6" s="741"/>
      <c r="F6" s="741"/>
      <c r="G6" s="741"/>
      <c r="H6" s="741"/>
      <c r="I6" s="749" t="s">
        <v>616</v>
      </c>
      <c r="J6" s="749"/>
      <c r="K6" s="749"/>
      <c r="L6" s="749"/>
      <c r="M6" s="308"/>
    </row>
    <row r="7" spans="1:13" ht="15.75">
      <c r="A7" s="776"/>
      <c r="B7" s="777"/>
      <c r="C7" s="749" t="s">
        <v>16</v>
      </c>
      <c r="D7" s="749"/>
      <c r="E7" s="741" t="s">
        <v>106</v>
      </c>
      <c r="F7" s="741"/>
      <c r="G7" s="741"/>
      <c r="H7" s="741"/>
      <c r="I7" s="749" t="s">
        <v>617</v>
      </c>
      <c r="J7" s="749"/>
      <c r="K7" s="749" t="s">
        <v>618</v>
      </c>
      <c r="L7" s="749"/>
      <c r="M7" s="308"/>
    </row>
    <row r="8" spans="1:13" ht="33" customHeight="1">
      <c r="A8" s="776"/>
      <c r="B8" s="777"/>
      <c r="C8" s="749"/>
      <c r="D8" s="749"/>
      <c r="E8" s="749" t="s">
        <v>619</v>
      </c>
      <c r="F8" s="749"/>
      <c r="G8" s="750" t="s">
        <v>620</v>
      </c>
      <c r="H8" s="745"/>
      <c r="I8" s="749"/>
      <c r="J8" s="749"/>
      <c r="K8" s="749"/>
      <c r="L8" s="749"/>
      <c r="M8" s="309"/>
    </row>
    <row r="9" spans="1:13" ht="32.25" customHeight="1">
      <c r="A9" s="778"/>
      <c r="B9" s="772"/>
      <c r="C9" s="321" t="s">
        <v>621</v>
      </c>
      <c r="D9" s="322" t="s">
        <v>112</v>
      </c>
      <c r="E9" s="320" t="s">
        <v>21</v>
      </c>
      <c r="F9" s="322" t="s">
        <v>622</v>
      </c>
      <c r="G9" s="320" t="s">
        <v>21</v>
      </c>
      <c r="H9" s="322" t="s">
        <v>622</v>
      </c>
      <c r="I9" s="320" t="s">
        <v>21</v>
      </c>
      <c r="J9" s="322" t="s">
        <v>622</v>
      </c>
      <c r="K9" s="320" t="s">
        <v>21</v>
      </c>
      <c r="L9" s="322" t="s">
        <v>622</v>
      </c>
      <c r="M9" s="309"/>
    </row>
    <row r="10" spans="1:13" ht="14.25" customHeight="1">
      <c r="A10" s="747" t="s">
        <v>105</v>
      </c>
      <c r="B10" s="738"/>
      <c r="C10" s="373">
        <v>1</v>
      </c>
      <c r="D10" s="373">
        <v>2</v>
      </c>
      <c r="E10" s="373">
        <v>3</v>
      </c>
      <c r="F10" s="373">
        <v>4</v>
      </c>
      <c r="G10" s="373">
        <v>5</v>
      </c>
      <c r="H10" s="373">
        <v>6</v>
      </c>
      <c r="I10" s="373">
        <v>7</v>
      </c>
      <c r="J10" s="373">
        <v>8</v>
      </c>
      <c r="K10" s="373">
        <v>9</v>
      </c>
      <c r="L10" s="373">
        <v>10</v>
      </c>
      <c r="M10" s="310"/>
    </row>
    <row r="11" spans="1:13" ht="22.5" customHeight="1">
      <c r="A11" s="739" t="s">
        <v>146</v>
      </c>
      <c r="B11" s="740"/>
      <c r="C11" s="571">
        <f>C12+C13</f>
        <v>0</v>
      </c>
      <c r="D11" s="571">
        <f aca="true" t="shared" si="0" ref="D11:L11">D12+D13</f>
        <v>0</v>
      </c>
      <c r="E11" s="571">
        <f t="shared" si="0"/>
        <v>0</v>
      </c>
      <c r="F11" s="571">
        <f t="shared" si="0"/>
        <v>0</v>
      </c>
      <c r="G11" s="571">
        <f t="shared" si="0"/>
        <v>0</v>
      </c>
      <c r="H11" s="571">
        <f t="shared" si="0"/>
        <v>0</v>
      </c>
      <c r="I11" s="571">
        <f t="shared" si="0"/>
        <v>0</v>
      </c>
      <c r="J11" s="571">
        <f t="shared" si="0"/>
        <v>0</v>
      </c>
      <c r="K11" s="571">
        <f t="shared" si="0"/>
        <v>0</v>
      </c>
      <c r="L11" s="571">
        <f t="shared" si="0"/>
        <v>0</v>
      </c>
      <c r="M11" s="310"/>
    </row>
    <row r="12" spans="1:13" ht="19.5" customHeight="1">
      <c r="A12" s="271" t="s">
        <v>14</v>
      </c>
      <c r="B12" s="272" t="s">
        <v>342</v>
      </c>
      <c r="C12" s="572">
        <f>E12+G12</f>
        <v>0</v>
      </c>
      <c r="D12" s="572">
        <f>F12+H12</f>
        <v>0</v>
      </c>
      <c r="E12" s="444">
        <v>0</v>
      </c>
      <c r="F12" s="444">
        <v>0</v>
      </c>
      <c r="G12" s="444">
        <v>0</v>
      </c>
      <c r="H12" s="444">
        <v>0</v>
      </c>
      <c r="I12" s="444">
        <v>0</v>
      </c>
      <c r="J12" s="444">
        <v>0</v>
      </c>
      <c r="K12" s="444">
        <v>0</v>
      </c>
      <c r="L12" s="444">
        <v>0</v>
      </c>
      <c r="M12" s="306"/>
    </row>
    <row r="13" spans="1:13" ht="17.25" customHeight="1">
      <c r="A13" s="273" t="s">
        <v>15</v>
      </c>
      <c r="B13" s="272" t="s">
        <v>125</v>
      </c>
      <c r="C13" s="572">
        <f>C14+C15+C16+C17+C18+C19+C20+C21+C22+C23</f>
        <v>0</v>
      </c>
      <c r="D13" s="572">
        <f aca="true" t="shared" si="1" ref="D13:L13">D14+D15+D16+D17+D18+D19+D20+D21+D22+D23</f>
        <v>0</v>
      </c>
      <c r="E13" s="572">
        <f t="shared" si="1"/>
        <v>0</v>
      </c>
      <c r="F13" s="572">
        <f t="shared" si="1"/>
        <v>0</v>
      </c>
      <c r="G13" s="572">
        <f t="shared" si="1"/>
        <v>0</v>
      </c>
      <c r="H13" s="572">
        <f t="shared" si="1"/>
        <v>0</v>
      </c>
      <c r="I13" s="572">
        <f t="shared" si="1"/>
        <v>0</v>
      </c>
      <c r="J13" s="572">
        <f t="shared" si="1"/>
        <v>0</v>
      </c>
      <c r="K13" s="572">
        <f t="shared" si="1"/>
        <v>0</v>
      </c>
      <c r="L13" s="572">
        <f t="shared" si="1"/>
        <v>0</v>
      </c>
      <c r="M13" s="306"/>
    </row>
    <row r="14" spans="1:13" ht="18.75" customHeight="1">
      <c r="A14" s="214">
        <v>1</v>
      </c>
      <c r="B14" s="425" t="s">
        <v>446</v>
      </c>
      <c r="C14" s="572">
        <f>E14+G14</f>
        <v>0</v>
      </c>
      <c r="D14" s="572">
        <f>F14+H14</f>
        <v>0</v>
      </c>
      <c r="E14" s="444">
        <v>0</v>
      </c>
      <c r="F14" s="444">
        <v>0</v>
      </c>
      <c r="G14" s="444">
        <v>0</v>
      </c>
      <c r="H14" s="444">
        <v>0</v>
      </c>
      <c r="I14" s="444">
        <v>0</v>
      </c>
      <c r="J14" s="444">
        <v>0</v>
      </c>
      <c r="K14" s="444">
        <v>0</v>
      </c>
      <c r="L14" s="444">
        <v>0</v>
      </c>
      <c r="M14" s="306"/>
    </row>
    <row r="15" spans="1:13" ht="18" customHeight="1">
      <c r="A15" s="214">
        <v>2</v>
      </c>
      <c r="B15" s="425" t="s">
        <v>447</v>
      </c>
      <c r="C15" s="572">
        <f aca="true" t="shared" si="2" ref="C15:D23">E15+G15</f>
        <v>0</v>
      </c>
      <c r="D15" s="572">
        <f t="shared" si="2"/>
        <v>0</v>
      </c>
      <c r="E15" s="444">
        <v>0</v>
      </c>
      <c r="F15" s="444">
        <v>0</v>
      </c>
      <c r="G15" s="444">
        <v>0</v>
      </c>
      <c r="H15" s="444">
        <v>0</v>
      </c>
      <c r="I15" s="444">
        <v>0</v>
      </c>
      <c r="J15" s="444">
        <v>0</v>
      </c>
      <c r="K15" s="444">
        <v>0</v>
      </c>
      <c r="L15" s="444">
        <v>0</v>
      </c>
      <c r="M15" s="306"/>
    </row>
    <row r="16" spans="1:13" ht="18.75" customHeight="1">
      <c r="A16" s="214">
        <v>3</v>
      </c>
      <c r="B16" s="425" t="s">
        <v>448</v>
      </c>
      <c r="C16" s="572">
        <f t="shared" si="2"/>
        <v>0</v>
      </c>
      <c r="D16" s="572">
        <f t="shared" si="2"/>
        <v>0</v>
      </c>
      <c r="E16" s="444">
        <v>0</v>
      </c>
      <c r="F16" s="444">
        <v>0</v>
      </c>
      <c r="G16" s="444">
        <v>0</v>
      </c>
      <c r="H16" s="444">
        <v>0</v>
      </c>
      <c r="I16" s="444">
        <v>0</v>
      </c>
      <c r="J16" s="444">
        <v>0</v>
      </c>
      <c r="K16" s="444">
        <v>0</v>
      </c>
      <c r="L16" s="444">
        <v>0</v>
      </c>
      <c r="M16" s="306"/>
    </row>
    <row r="17" spans="1:13" ht="18" customHeight="1">
      <c r="A17" s="214">
        <v>4</v>
      </c>
      <c r="B17" s="425" t="s">
        <v>449</v>
      </c>
      <c r="C17" s="572">
        <f t="shared" si="2"/>
        <v>0</v>
      </c>
      <c r="D17" s="572">
        <f t="shared" si="2"/>
        <v>0</v>
      </c>
      <c r="E17" s="444">
        <v>0</v>
      </c>
      <c r="F17" s="444">
        <v>0</v>
      </c>
      <c r="G17" s="444">
        <v>0</v>
      </c>
      <c r="H17" s="444">
        <v>0</v>
      </c>
      <c r="I17" s="444">
        <v>0</v>
      </c>
      <c r="J17" s="444">
        <v>0</v>
      </c>
      <c r="K17" s="444">
        <v>0</v>
      </c>
      <c r="L17" s="444">
        <v>0</v>
      </c>
      <c r="M17" s="306"/>
    </row>
    <row r="18" spans="1:13" ht="18.75" customHeight="1">
      <c r="A18" s="214">
        <v>5</v>
      </c>
      <c r="B18" s="425" t="s">
        <v>450</v>
      </c>
      <c r="C18" s="572">
        <f t="shared" si="2"/>
        <v>0</v>
      </c>
      <c r="D18" s="572">
        <f t="shared" si="2"/>
        <v>0</v>
      </c>
      <c r="E18" s="444">
        <v>0</v>
      </c>
      <c r="F18" s="444">
        <v>0</v>
      </c>
      <c r="G18" s="444">
        <v>0</v>
      </c>
      <c r="H18" s="444">
        <v>0</v>
      </c>
      <c r="I18" s="444">
        <v>0</v>
      </c>
      <c r="J18" s="444">
        <v>0</v>
      </c>
      <c r="K18" s="444">
        <v>0</v>
      </c>
      <c r="L18" s="444">
        <v>0</v>
      </c>
      <c r="M18" s="306"/>
    </row>
    <row r="19" spans="1:13" ht="18" customHeight="1">
      <c r="A19" s="214">
        <v>6</v>
      </c>
      <c r="B19" s="425" t="s">
        <v>451</v>
      </c>
      <c r="C19" s="572">
        <f t="shared" si="2"/>
        <v>0</v>
      </c>
      <c r="D19" s="572">
        <f t="shared" si="2"/>
        <v>0</v>
      </c>
      <c r="E19" s="444">
        <v>0</v>
      </c>
      <c r="F19" s="444">
        <v>0</v>
      </c>
      <c r="G19" s="444">
        <v>0</v>
      </c>
      <c r="H19" s="444">
        <v>0</v>
      </c>
      <c r="I19" s="444">
        <v>0</v>
      </c>
      <c r="J19" s="444">
        <v>0</v>
      </c>
      <c r="K19" s="444">
        <v>0</v>
      </c>
      <c r="L19" s="444">
        <v>0</v>
      </c>
      <c r="M19" s="306"/>
    </row>
    <row r="20" spans="1:13" ht="17.25" customHeight="1">
      <c r="A20" s="214">
        <v>7</v>
      </c>
      <c r="B20" s="425" t="s">
        <v>452</v>
      </c>
      <c r="C20" s="572">
        <f t="shared" si="2"/>
        <v>0</v>
      </c>
      <c r="D20" s="572">
        <f t="shared" si="2"/>
        <v>0</v>
      </c>
      <c r="E20" s="444">
        <v>0</v>
      </c>
      <c r="F20" s="444">
        <v>0</v>
      </c>
      <c r="G20" s="444">
        <v>0</v>
      </c>
      <c r="H20" s="444">
        <v>0</v>
      </c>
      <c r="I20" s="444">
        <v>0</v>
      </c>
      <c r="J20" s="444">
        <v>0</v>
      </c>
      <c r="K20" s="444">
        <v>0</v>
      </c>
      <c r="L20" s="444">
        <v>0</v>
      </c>
      <c r="M20" s="306"/>
    </row>
    <row r="21" spans="1:13" ht="17.25" customHeight="1">
      <c r="A21" s="214">
        <v>8</v>
      </c>
      <c r="B21" s="425" t="s">
        <v>453</v>
      </c>
      <c r="C21" s="572">
        <f t="shared" si="2"/>
        <v>0</v>
      </c>
      <c r="D21" s="572">
        <f t="shared" si="2"/>
        <v>0</v>
      </c>
      <c r="E21" s="444">
        <v>0</v>
      </c>
      <c r="F21" s="444">
        <v>0</v>
      </c>
      <c r="G21" s="444">
        <v>0</v>
      </c>
      <c r="H21" s="444">
        <v>0</v>
      </c>
      <c r="I21" s="444">
        <v>0</v>
      </c>
      <c r="J21" s="444">
        <v>0</v>
      </c>
      <c r="K21" s="444">
        <v>0</v>
      </c>
      <c r="L21" s="444">
        <v>0</v>
      </c>
      <c r="M21" s="306"/>
    </row>
    <row r="22" spans="1:13" ht="17.25" customHeight="1">
      <c r="A22" s="214">
        <v>9</v>
      </c>
      <c r="B22" s="425" t="s">
        <v>454</v>
      </c>
      <c r="C22" s="572">
        <f t="shared" si="2"/>
        <v>0</v>
      </c>
      <c r="D22" s="572">
        <f t="shared" si="2"/>
        <v>0</v>
      </c>
      <c r="E22" s="444">
        <v>0</v>
      </c>
      <c r="F22" s="444">
        <v>0</v>
      </c>
      <c r="G22" s="444">
        <v>0</v>
      </c>
      <c r="H22" s="444">
        <v>0</v>
      </c>
      <c r="I22" s="444">
        <v>0</v>
      </c>
      <c r="J22" s="444">
        <v>0</v>
      </c>
      <c r="K22" s="444">
        <v>0</v>
      </c>
      <c r="L22" s="444">
        <v>0</v>
      </c>
      <c r="M22" s="306"/>
    </row>
    <row r="23" spans="1:13" ht="21" customHeight="1" thickBot="1">
      <c r="A23" s="300">
        <v>10</v>
      </c>
      <c r="B23" s="684" t="s">
        <v>455</v>
      </c>
      <c r="C23" s="690">
        <f t="shared" si="2"/>
        <v>0</v>
      </c>
      <c r="D23" s="690">
        <f t="shared" si="2"/>
        <v>0</v>
      </c>
      <c r="E23" s="691">
        <v>0</v>
      </c>
      <c r="F23" s="691">
        <v>0</v>
      </c>
      <c r="G23" s="691">
        <v>0</v>
      </c>
      <c r="H23" s="691">
        <v>0</v>
      </c>
      <c r="I23" s="691">
        <v>0</v>
      </c>
      <c r="J23" s="691">
        <v>0</v>
      </c>
      <c r="K23" s="691">
        <v>0</v>
      </c>
      <c r="L23" s="691">
        <v>0</v>
      </c>
      <c r="M23" s="315"/>
    </row>
    <row r="24" spans="1:13" ht="17.25" thickTop="1">
      <c r="A24" s="311"/>
      <c r="B24" s="306"/>
      <c r="C24" s="306"/>
      <c r="D24" s="306"/>
      <c r="E24" s="306"/>
      <c r="F24" s="242"/>
      <c r="G24" s="242"/>
      <c r="H24" s="242"/>
      <c r="I24" s="242"/>
      <c r="J24" s="242"/>
      <c r="K24" s="242"/>
      <c r="L24" s="242"/>
      <c r="M24" s="242"/>
    </row>
    <row r="25" spans="1:13" ht="16.5" customHeight="1">
      <c r="A25" s="759" t="s">
        <v>384</v>
      </c>
      <c r="B25" s="759"/>
      <c r="C25" s="759"/>
      <c r="D25" s="759"/>
      <c r="E25" s="278"/>
      <c r="F25" s="245"/>
      <c r="G25" s="742" t="s">
        <v>236</v>
      </c>
      <c r="H25" s="742"/>
      <c r="I25" s="742"/>
      <c r="J25" s="742"/>
      <c r="K25" s="742"/>
      <c r="L25" s="742"/>
      <c r="M25" s="245"/>
    </row>
    <row r="26" spans="1:13" ht="16.5">
      <c r="A26" s="789" t="s">
        <v>43</v>
      </c>
      <c r="B26" s="789"/>
      <c r="C26" s="789"/>
      <c r="D26" s="789"/>
      <c r="E26" s="278"/>
      <c r="F26" s="245"/>
      <c r="G26" s="743" t="s">
        <v>660</v>
      </c>
      <c r="H26" s="743"/>
      <c r="I26" s="743"/>
      <c r="J26" s="743"/>
      <c r="K26" s="743"/>
      <c r="L26" s="743"/>
      <c r="M26" s="245"/>
    </row>
    <row r="27" spans="1:13" ht="16.5">
      <c r="A27" s="274"/>
      <c r="B27" s="313"/>
      <c r="C27" s="313"/>
      <c r="D27" s="313"/>
      <c r="E27" s="278"/>
      <c r="F27" s="242"/>
      <c r="G27" s="743" t="s">
        <v>656</v>
      </c>
      <c r="H27" s="743"/>
      <c r="I27" s="743"/>
      <c r="J27" s="743"/>
      <c r="K27" s="743"/>
      <c r="L27" s="743"/>
      <c r="M27" s="242"/>
    </row>
    <row r="28" spans="1:13" ht="16.5">
      <c r="A28" s="274"/>
      <c r="B28" s="313"/>
      <c r="C28" s="313"/>
      <c r="D28" s="313"/>
      <c r="E28" s="278"/>
      <c r="F28" s="230"/>
      <c r="G28" s="230"/>
      <c r="H28" s="230"/>
      <c r="I28" s="230"/>
      <c r="J28" s="230"/>
      <c r="K28" s="242"/>
      <c r="L28" s="242"/>
      <c r="M28" s="242"/>
    </row>
    <row r="29" spans="1:13" ht="16.5">
      <c r="A29" s="274"/>
      <c r="B29" s="277"/>
      <c r="C29" s="277"/>
      <c r="D29" s="278"/>
      <c r="E29" s="278"/>
      <c r="F29" s="230"/>
      <c r="G29" s="230"/>
      <c r="H29" s="230"/>
      <c r="I29" s="230"/>
      <c r="J29" s="230"/>
      <c r="K29" s="242"/>
      <c r="L29" s="242"/>
      <c r="M29" s="242"/>
    </row>
    <row r="30" spans="1:13" ht="16.5">
      <c r="A30" s="311"/>
      <c r="B30" s="312"/>
      <c r="C30" s="312"/>
      <c r="D30" s="312"/>
      <c r="E30" s="312"/>
      <c r="F30" s="233"/>
      <c r="G30" s="233"/>
      <c r="H30" s="233"/>
      <c r="I30" s="233"/>
      <c r="J30" s="233"/>
      <c r="K30" s="233"/>
      <c r="L30" s="233"/>
      <c r="M30" s="233"/>
    </row>
    <row r="31" spans="1:13" ht="16.5">
      <c r="A31" s="754" t="s">
        <v>390</v>
      </c>
      <c r="B31" s="754"/>
      <c r="C31" s="754"/>
      <c r="D31" s="754"/>
      <c r="E31" s="306"/>
      <c r="F31" s="306"/>
      <c r="G31" s="754" t="s">
        <v>2</v>
      </c>
      <c r="H31" s="754"/>
      <c r="I31" s="754"/>
      <c r="J31" s="754"/>
      <c r="K31" s="754"/>
      <c r="L31" s="754"/>
      <c r="M31" s="306"/>
    </row>
  </sheetData>
  <sheetProtection/>
  <mergeCells count="28">
    <mergeCell ref="A31:D31"/>
    <mergeCell ref="G25:L25"/>
    <mergeCell ref="G26:L26"/>
    <mergeCell ref="G27:L27"/>
    <mergeCell ref="G31:L31"/>
    <mergeCell ref="A25:D25"/>
    <mergeCell ref="A26:D26"/>
    <mergeCell ref="A10:B10"/>
    <mergeCell ref="A11:B11"/>
    <mergeCell ref="A6:B9"/>
    <mergeCell ref="C6:H6"/>
    <mergeCell ref="C7:D8"/>
    <mergeCell ref="E7:H7"/>
    <mergeCell ref="A4:C4"/>
    <mergeCell ref="J4:M4"/>
    <mergeCell ref="D4:I4"/>
    <mergeCell ref="I6:L6"/>
    <mergeCell ref="I7:J8"/>
    <mergeCell ref="K7:L8"/>
    <mergeCell ref="E8:F8"/>
    <mergeCell ref="G8:H8"/>
    <mergeCell ref="J2:L2"/>
    <mergeCell ref="A3:C3"/>
    <mergeCell ref="D3:I3"/>
    <mergeCell ref="A1:C1"/>
    <mergeCell ref="D1:I1"/>
    <mergeCell ref="A2:C2"/>
    <mergeCell ref="D2:I2"/>
  </mergeCells>
  <printOptions/>
  <pageMargins left="0.5" right="0" top="0.25"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32"/>
  </sheetPr>
  <dimension ref="A1:T32"/>
  <sheetViews>
    <sheetView zoomScalePageLayoutView="0" workbookViewId="0" topLeftCell="A7">
      <selection activeCell="M26" sqref="M26:T26"/>
    </sheetView>
  </sheetViews>
  <sheetFormatPr defaultColWidth="9.00390625" defaultRowHeight="15.75"/>
  <cols>
    <col min="1" max="1" width="3.125" style="46" customWidth="1"/>
    <col min="2" max="2" width="21.875" style="46" customWidth="1"/>
    <col min="3" max="3" width="5.25390625" style="46" customWidth="1"/>
    <col min="4" max="4" width="7.875" style="46" customWidth="1"/>
    <col min="5" max="5" width="5.125" style="46" customWidth="1"/>
    <col min="6" max="6" width="7.75390625" style="46" customWidth="1"/>
    <col min="7" max="7" width="4.75390625" style="46" customWidth="1"/>
    <col min="8" max="8" width="7.625" style="46" customWidth="1"/>
    <col min="9" max="9" width="5.375" style="46" customWidth="1"/>
    <col min="10" max="10" width="6.625" style="46" customWidth="1"/>
    <col min="11" max="11" width="5.50390625" style="46" customWidth="1"/>
    <col min="12" max="12" width="7.375" style="46" customWidth="1"/>
    <col min="13" max="13" width="5.125" style="46" customWidth="1"/>
    <col min="14" max="14" width="6.625" style="46" customWidth="1"/>
    <col min="15" max="15" width="5.00390625" style="46" customWidth="1"/>
    <col min="16" max="16" width="6.75390625" style="46" customWidth="1"/>
    <col min="17" max="17" width="5.125" style="46" customWidth="1"/>
    <col min="18" max="18" width="6.125" style="46" customWidth="1"/>
    <col min="19" max="19" width="4.625" style="46" customWidth="1"/>
    <col min="20" max="20" width="6.00390625" style="46" customWidth="1"/>
    <col min="21" max="16384" width="9.00390625" style="46" customWidth="1"/>
  </cols>
  <sheetData>
    <row r="1" spans="1:20" s="325" customFormat="1" ht="15.75">
      <c r="A1" s="280"/>
      <c r="B1" s="280"/>
      <c r="C1" s="280"/>
      <c r="D1" s="280"/>
      <c r="E1" s="280"/>
      <c r="F1" s="280"/>
      <c r="G1" s="280"/>
      <c r="H1" s="280"/>
      <c r="I1" s="280"/>
      <c r="J1" s="280"/>
      <c r="K1" s="280"/>
      <c r="L1" s="280"/>
      <c r="M1" s="280"/>
      <c r="N1" s="280"/>
      <c r="O1" s="280"/>
      <c r="P1" s="280"/>
      <c r="Q1" s="280"/>
      <c r="R1" s="280"/>
      <c r="S1" s="280"/>
      <c r="T1" s="280"/>
    </row>
    <row r="2" spans="1:20" s="325" customFormat="1" ht="23.25" customHeight="1">
      <c r="A2" s="822" t="s">
        <v>594</v>
      </c>
      <c r="B2" s="822"/>
      <c r="C2" s="822"/>
      <c r="D2" s="822"/>
      <c r="E2" s="231"/>
      <c r="F2" s="823" t="s">
        <v>11</v>
      </c>
      <c r="G2" s="823"/>
      <c r="H2" s="823"/>
      <c r="I2" s="823"/>
      <c r="J2" s="823"/>
      <c r="K2" s="823"/>
      <c r="L2" s="823"/>
      <c r="M2" s="823"/>
      <c r="N2" s="823"/>
      <c r="O2" s="823"/>
      <c r="P2" s="302" t="s">
        <v>379</v>
      </c>
      <c r="Q2" s="302"/>
      <c r="R2" s="302"/>
      <c r="S2" s="280"/>
      <c r="T2" s="280"/>
    </row>
    <row r="3" spans="1:20" s="325" customFormat="1" ht="19.5" customHeight="1">
      <c r="A3" s="822" t="s">
        <v>370</v>
      </c>
      <c r="B3" s="822"/>
      <c r="C3" s="822"/>
      <c r="D3" s="822"/>
      <c r="E3" s="231"/>
      <c r="F3" s="823"/>
      <c r="G3" s="823"/>
      <c r="H3" s="823"/>
      <c r="I3" s="823"/>
      <c r="J3" s="823"/>
      <c r="K3" s="823"/>
      <c r="L3" s="823"/>
      <c r="M3" s="823"/>
      <c r="N3" s="823"/>
      <c r="O3" s="823"/>
      <c r="P3" s="787" t="s">
        <v>388</v>
      </c>
      <c r="Q3" s="787"/>
      <c r="R3" s="787"/>
      <c r="S3" s="787"/>
      <c r="T3" s="787"/>
    </row>
    <row r="4" spans="1:20" s="325" customFormat="1" ht="14.25" customHeight="1">
      <c r="A4" s="822" t="s">
        <v>368</v>
      </c>
      <c r="B4" s="822"/>
      <c r="C4" s="822"/>
      <c r="D4" s="822"/>
      <c r="E4" s="231"/>
      <c r="F4" s="823"/>
      <c r="G4" s="823"/>
      <c r="H4" s="823"/>
      <c r="I4" s="823"/>
      <c r="J4" s="823"/>
      <c r="K4" s="823"/>
      <c r="L4" s="823"/>
      <c r="M4" s="823"/>
      <c r="N4" s="823"/>
      <c r="O4" s="823"/>
      <c r="P4" s="249" t="s">
        <v>378</v>
      </c>
      <c r="Q4" s="249"/>
      <c r="R4" s="249"/>
      <c r="S4" s="280"/>
      <c r="T4" s="280"/>
    </row>
    <row r="5" spans="1:20" s="15" customFormat="1" ht="14.25" customHeight="1">
      <c r="A5" s="282" t="s">
        <v>564</v>
      </c>
      <c r="B5" s="282"/>
      <c r="C5" s="282"/>
      <c r="D5" s="346"/>
      <c r="E5" s="347"/>
      <c r="F5" s="823"/>
      <c r="G5" s="823"/>
      <c r="H5" s="823"/>
      <c r="I5" s="823"/>
      <c r="J5" s="823"/>
      <c r="K5" s="823"/>
      <c r="L5" s="823"/>
      <c r="M5" s="823"/>
      <c r="N5" s="823"/>
      <c r="O5" s="823"/>
      <c r="P5" s="316" t="s">
        <v>391</v>
      </c>
      <c r="Q5" s="316"/>
      <c r="R5" s="316"/>
      <c r="S5" s="316"/>
      <c r="T5" s="348"/>
    </row>
    <row r="6" spans="1:20" s="325" customFormat="1" ht="15.75">
      <c r="A6" s="349"/>
      <c r="B6" s="349"/>
      <c r="C6" s="349"/>
      <c r="D6" s="280"/>
      <c r="E6" s="280"/>
      <c r="F6" s="821" t="s">
        <v>237</v>
      </c>
      <c r="G6" s="821"/>
      <c r="H6" s="821"/>
      <c r="I6" s="821"/>
      <c r="J6" s="821"/>
      <c r="K6" s="821"/>
      <c r="L6" s="821"/>
      <c r="M6" s="821"/>
      <c r="N6" s="821"/>
      <c r="O6" s="821"/>
      <c r="P6" s="249" t="s">
        <v>595</v>
      </c>
      <c r="Q6" s="252"/>
      <c r="R6" s="252"/>
      <c r="S6" s="280"/>
      <c r="T6" s="280"/>
    </row>
    <row r="7" spans="1:20" s="325" customFormat="1" ht="15.75">
      <c r="A7" s="827" t="s">
        <v>294</v>
      </c>
      <c r="B7" s="828"/>
      <c r="C7" s="744" t="s">
        <v>165</v>
      </c>
      <c r="D7" s="733"/>
      <c r="E7" s="744" t="s">
        <v>106</v>
      </c>
      <c r="F7" s="734"/>
      <c r="G7" s="734"/>
      <c r="H7" s="734"/>
      <c r="I7" s="734"/>
      <c r="J7" s="734"/>
      <c r="K7" s="734"/>
      <c r="L7" s="734"/>
      <c r="M7" s="734"/>
      <c r="N7" s="734"/>
      <c r="O7" s="734"/>
      <c r="P7" s="734"/>
      <c r="Q7" s="734"/>
      <c r="R7" s="734"/>
      <c r="S7" s="734"/>
      <c r="T7" s="733"/>
    </row>
    <row r="8" spans="1:20" s="325" customFormat="1" ht="15.75">
      <c r="A8" s="829"/>
      <c r="B8" s="830"/>
      <c r="C8" s="735" t="s">
        <v>596</v>
      </c>
      <c r="D8" s="735" t="s">
        <v>597</v>
      </c>
      <c r="E8" s="744" t="s">
        <v>598</v>
      </c>
      <c r="F8" s="834"/>
      <c r="G8" s="834"/>
      <c r="H8" s="834"/>
      <c r="I8" s="834"/>
      <c r="J8" s="834"/>
      <c r="K8" s="834"/>
      <c r="L8" s="835"/>
      <c r="M8" s="744" t="s">
        <v>599</v>
      </c>
      <c r="N8" s="734"/>
      <c r="O8" s="734"/>
      <c r="P8" s="734"/>
      <c r="Q8" s="734"/>
      <c r="R8" s="734"/>
      <c r="S8" s="734"/>
      <c r="T8" s="733"/>
    </row>
    <row r="9" spans="1:20" s="325" customFormat="1" ht="26.25" customHeight="1">
      <c r="A9" s="829"/>
      <c r="B9" s="830"/>
      <c r="C9" s="736"/>
      <c r="D9" s="736"/>
      <c r="E9" s="818" t="s">
        <v>600</v>
      </c>
      <c r="F9" s="818"/>
      <c r="G9" s="744" t="s">
        <v>601</v>
      </c>
      <c r="H9" s="734"/>
      <c r="I9" s="734"/>
      <c r="J9" s="734"/>
      <c r="K9" s="734"/>
      <c r="L9" s="733"/>
      <c r="M9" s="818" t="s">
        <v>602</v>
      </c>
      <c r="N9" s="818"/>
      <c r="O9" s="744" t="s">
        <v>601</v>
      </c>
      <c r="P9" s="734"/>
      <c r="Q9" s="734"/>
      <c r="R9" s="734"/>
      <c r="S9" s="734"/>
      <c r="T9" s="733"/>
    </row>
    <row r="10" spans="1:20" s="325" customFormat="1" ht="33.75" customHeight="1">
      <c r="A10" s="829"/>
      <c r="B10" s="830"/>
      <c r="C10" s="736"/>
      <c r="D10" s="736"/>
      <c r="E10" s="735" t="s">
        <v>603</v>
      </c>
      <c r="F10" s="735" t="s">
        <v>604</v>
      </c>
      <c r="G10" s="819" t="s">
        <v>605</v>
      </c>
      <c r="H10" s="820"/>
      <c r="I10" s="819" t="s">
        <v>606</v>
      </c>
      <c r="J10" s="820"/>
      <c r="K10" s="819" t="s">
        <v>607</v>
      </c>
      <c r="L10" s="820"/>
      <c r="M10" s="735" t="s">
        <v>608</v>
      </c>
      <c r="N10" s="735" t="s">
        <v>604</v>
      </c>
      <c r="O10" s="819" t="s">
        <v>605</v>
      </c>
      <c r="P10" s="820"/>
      <c r="Q10" s="819" t="s">
        <v>609</v>
      </c>
      <c r="R10" s="820"/>
      <c r="S10" s="819" t="s">
        <v>610</v>
      </c>
      <c r="T10" s="820"/>
    </row>
    <row r="11" spans="1:20" s="325" customFormat="1" ht="51.75" customHeight="1">
      <c r="A11" s="819"/>
      <c r="B11" s="820"/>
      <c r="C11" s="817"/>
      <c r="D11" s="817"/>
      <c r="E11" s="817"/>
      <c r="F11" s="817"/>
      <c r="G11" s="269" t="s">
        <v>608</v>
      </c>
      <c r="H11" s="269" t="s">
        <v>604</v>
      </c>
      <c r="I11" s="284" t="s">
        <v>608</v>
      </c>
      <c r="J11" s="269" t="s">
        <v>604</v>
      </c>
      <c r="K11" s="284" t="s">
        <v>608</v>
      </c>
      <c r="L11" s="269" t="s">
        <v>604</v>
      </c>
      <c r="M11" s="817"/>
      <c r="N11" s="817"/>
      <c r="O11" s="269" t="s">
        <v>608</v>
      </c>
      <c r="P11" s="269" t="s">
        <v>604</v>
      </c>
      <c r="Q11" s="284" t="s">
        <v>608</v>
      </c>
      <c r="R11" s="269" t="s">
        <v>604</v>
      </c>
      <c r="S11" s="284" t="s">
        <v>608</v>
      </c>
      <c r="T11" s="269" t="s">
        <v>604</v>
      </c>
    </row>
    <row r="12" spans="1:20" s="325" customFormat="1" ht="14.25" customHeight="1">
      <c r="A12" s="825" t="s">
        <v>105</v>
      </c>
      <c r="B12" s="826"/>
      <c r="C12" s="374">
        <v>1</v>
      </c>
      <c r="D12" s="375">
        <v>2</v>
      </c>
      <c r="E12" s="374">
        <v>3</v>
      </c>
      <c r="F12" s="375">
        <v>4</v>
      </c>
      <c r="G12" s="374">
        <v>5</v>
      </c>
      <c r="H12" s="375">
        <v>6</v>
      </c>
      <c r="I12" s="374">
        <v>7</v>
      </c>
      <c r="J12" s="375">
        <v>8</v>
      </c>
      <c r="K12" s="374">
        <v>9</v>
      </c>
      <c r="L12" s="375">
        <v>10</v>
      </c>
      <c r="M12" s="374">
        <v>11</v>
      </c>
      <c r="N12" s="375">
        <v>12</v>
      </c>
      <c r="O12" s="374">
        <v>13</v>
      </c>
      <c r="P12" s="375">
        <v>14</v>
      </c>
      <c r="Q12" s="374">
        <v>15</v>
      </c>
      <c r="R12" s="375">
        <v>16</v>
      </c>
      <c r="S12" s="374">
        <v>17</v>
      </c>
      <c r="T12" s="375">
        <v>18</v>
      </c>
    </row>
    <row r="13" spans="1:20" s="325" customFormat="1" ht="15.75">
      <c r="A13" s="836" t="s">
        <v>146</v>
      </c>
      <c r="B13" s="837"/>
      <c r="C13" s="569">
        <f>C14+C15</f>
        <v>4</v>
      </c>
      <c r="D13" s="569">
        <f aca="true" t="shared" si="0" ref="D13:T13">D14+D15</f>
        <v>3053914</v>
      </c>
      <c r="E13" s="569">
        <f t="shared" si="0"/>
        <v>4</v>
      </c>
      <c r="F13" s="569">
        <f t="shared" si="0"/>
        <v>3053914</v>
      </c>
      <c r="G13" s="569">
        <f t="shared" si="0"/>
        <v>4</v>
      </c>
      <c r="H13" s="569">
        <f t="shared" si="0"/>
        <v>3053914</v>
      </c>
      <c r="I13" s="504">
        <f t="shared" si="0"/>
        <v>0</v>
      </c>
      <c r="J13" s="504">
        <f t="shared" si="0"/>
        <v>0</v>
      </c>
      <c r="K13" s="504">
        <f t="shared" si="0"/>
        <v>0</v>
      </c>
      <c r="L13" s="504">
        <f t="shared" si="0"/>
        <v>0</v>
      </c>
      <c r="M13" s="504">
        <f t="shared" si="0"/>
        <v>0</v>
      </c>
      <c r="N13" s="504">
        <f t="shared" si="0"/>
        <v>0</v>
      </c>
      <c r="O13" s="504">
        <f t="shared" si="0"/>
        <v>0</v>
      </c>
      <c r="P13" s="504">
        <f t="shared" si="0"/>
        <v>0</v>
      </c>
      <c r="Q13" s="504">
        <f t="shared" si="0"/>
        <v>0</v>
      </c>
      <c r="R13" s="504">
        <f t="shared" si="0"/>
        <v>0</v>
      </c>
      <c r="S13" s="504">
        <f t="shared" si="0"/>
        <v>0</v>
      </c>
      <c r="T13" s="504">
        <f t="shared" si="0"/>
        <v>0</v>
      </c>
    </row>
    <row r="14" spans="1:20" s="325" customFormat="1" ht="15.75">
      <c r="A14" s="292" t="s">
        <v>14</v>
      </c>
      <c r="B14" s="293" t="s">
        <v>512</v>
      </c>
      <c r="C14" s="570">
        <f>E14+M14</f>
        <v>3</v>
      </c>
      <c r="D14" s="570">
        <f>F14+N14</f>
        <v>2942664</v>
      </c>
      <c r="E14" s="450">
        <v>3</v>
      </c>
      <c r="F14" s="450">
        <v>2942664</v>
      </c>
      <c r="G14" s="450">
        <v>3</v>
      </c>
      <c r="H14" s="450">
        <v>2942664</v>
      </c>
      <c r="I14" s="323">
        <v>0</v>
      </c>
      <c r="J14" s="323">
        <v>0</v>
      </c>
      <c r="K14" s="323">
        <v>0</v>
      </c>
      <c r="L14" s="323">
        <v>0</v>
      </c>
      <c r="M14" s="323">
        <v>0</v>
      </c>
      <c r="N14" s="323">
        <v>0</v>
      </c>
      <c r="O14" s="323">
        <v>0</v>
      </c>
      <c r="P14" s="323">
        <v>0</v>
      </c>
      <c r="Q14" s="323">
        <v>0</v>
      </c>
      <c r="R14" s="323"/>
      <c r="S14" s="323">
        <v>0</v>
      </c>
      <c r="T14" s="323">
        <v>0</v>
      </c>
    </row>
    <row r="15" spans="1:20" s="325" customFormat="1" ht="15.75">
      <c r="A15" s="294" t="s">
        <v>15</v>
      </c>
      <c r="B15" s="293" t="s">
        <v>125</v>
      </c>
      <c r="C15" s="570">
        <f>C16+C17+C18+C19+C20+C21+C22+C23+C24+C25</f>
        <v>1</v>
      </c>
      <c r="D15" s="570">
        <f aca="true" t="shared" si="1" ref="D15:T15">D16+D17+D18+D19+D20+D21+D22+D23+D24+D25</f>
        <v>111250</v>
      </c>
      <c r="E15" s="570">
        <f t="shared" si="1"/>
        <v>1</v>
      </c>
      <c r="F15" s="570">
        <f t="shared" si="1"/>
        <v>111250</v>
      </c>
      <c r="G15" s="570">
        <f t="shared" si="1"/>
        <v>1</v>
      </c>
      <c r="H15" s="570">
        <f t="shared" si="1"/>
        <v>111250</v>
      </c>
      <c r="I15" s="565">
        <f t="shared" si="1"/>
        <v>0</v>
      </c>
      <c r="J15" s="565">
        <f t="shared" si="1"/>
        <v>0</v>
      </c>
      <c r="K15" s="565">
        <f t="shared" si="1"/>
        <v>0</v>
      </c>
      <c r="L15" s="565">
        <f t="shared" si="1"/>
        <v>0</v>
      </c>
      <c r="M15" s="565">
        <f t="shared" si="1"/>
        <v>0</v>
      </c>
      <c r="N15" s="565">
        <f t="shared" si="1"/>
        <v>0</v>
      </c>
      <c r="O15" s="565">
        <f t="shared" si="1"/>
        <v>0</v>
      </c>
      <c r="P15" s="565">
        <f t="shared" si="1"/>
        <v>0</v>
      </c>
      <c r="Q15" s="565">
        <f t="shared" si="1"/>
        <v>0</v>
      </c>
      <c r="R15" s="565">
        <f t="shared" si="1"/>
        <v>0</v>
      </c>
      <c r="S15" s="565">
        <f t="shared" si="1"/>
        <v>0</v>
      </c>
      <c r="T15" s="565">
        <f t="shared" si="1"/>
        <v>0</v>
      </c>
    </row>
    <row r="16" spans="1:20" s="325" customFormat="1" ht="15.75">
      <c r="A16" s="214">
        <v>1</v>
      </c>
      <c r="B16" s="425" t="s">
        <v>446</v>
      </c>
      <c r="C16" s="570">
        <f>E16+M16</f>
        <v>0</v>
      </c>
      <c r="D16" s="570">
        <f>F16+N16</f>
        <v>0</v>
      </c>
      <c r="E16" s="450">
        <v>0</v>
      </c>
      <c r="F16" s="450">
        <v>0</v>
      </c>
      <c r="G16" s="450">
        <v>0</v>
      </c>
      <c r="H16" s="450">
        <v>0</v>
      </c>
      <c r="I16" s="323">
        <v>0</v>
      </c>
      <c r="J16" s="323">
        <v>0</v>
      </c>
      <c r="K16" s="323">
        <v>0</v>
      </c>
      <c r="L16" s="323">
        <v>0</v>
      </c>
      <c r="M16" s="323">
        <v>0</v>
      </c>
      <c r="N16" s="323">
        <v>0</v>
      </c>
      <c r="O16" s="323">
        <v>0</v>
      </c>
      <c r="P16" s="323">
        <v>0</v>
      </c>
      <c r="Q16" s="323">
        <v>0</v>
      </c>
      <c r="R16" s="323">
        <v>0</v>
      </c>
      <c r="S16" s="323">
        <v>0</v>
      </c>
      <c r="T16" s="323">
        <v>0</v>
      </c>
    </row>
    <row r="17" spans="1:20" s="325" customFormat="1" ht="15.75">
      <c r="A17" s="214">
        <v>2</v>
      </c>
      <c r="B17" s="425" t="s">
        <v>447</v>
      </c>
      <c r="C17" s="570">
        <f aca="true" t="shared" si="2" ref="C17:D25">E17+M17</f>
        <v>0</v>
      </c>
      <c r="D17" s="570">
        <f t="shared" si="2"/>
        <v>0</v>
      </c>
      <c r="E17" s="450">
        <v>0</v>
      </c>
      <c r="F17" s="450">
        <v>0</v>
      </c>
      <c r="G17" s="450">
        <v>0</v>
      </c>
      <c r="H17" s="450">
        <v>0</v>
      </c>
      <c r="I17" s="323">
        <v>0</v>
      </c>
      <c r="J17" s="323">
        <v>0</v>
      </c>
      <c r="K17" s="323">
        <v>0</v>
      </c>
      <c r="L17" s="323">
        <v>0</v>
      </c>
      <c r="M17" s="323">
        <v>0</v>
      </c>
      <c r="N17" s="323">
        <v>0</v>
      </c>
      <c r="O17" s="323">
        <v>0</v>
      </c>
      <c r="P17" s="323">
        <v>0</v>
      </c>
      <c r="Q17" s="323">
        <v>0</v>
      </c>
      <c r="R17" s="323">
        <v>0</v>
      </c>
      <c r="S17" s="323">
        <v>0</v>
      </c>
      <c r="T17" s="323">
        <v>0</v>
      </c>
    </row>
    <row r="18" spans="1:20" s="325" customFormat="1" ht="15.75">
      <c r="A18" s="214">
        <v>3</v>
      </c>
      <c r="B18" s="425" t="s">
        <v>448</v>
      </c>
      <c r="C18" s="570">
        <f t="shared" si="2"/>
        <v>0</v>
      </c>
      <c r="D18" s="570">
        <f t="shared" si="2"/>
        <v>0</v>
      </c>
      <c r="E18" s="450">
        <v>0</v>
      </c>
      <c r="F18" s="450">
        <v>0</v>
      </c>
      <c r="G18" s="450">
        <v>0</v>
      </c>
      <c r="H18" s="450">
        <v>0</v>
      </c>
      <c r="I18" s="323">
        <v>0</v>
      </c>
      <c r="J18" s="323">
        <v>0</v>
      </c>
      <c r="K18" s="323">
        <v>0</v>
      </c>
      <c r="L18" s="323">
        <v>0</v>
      </c>
      <c r="M18" s="323">
        <v>0</v>
      </c>
      <c r="N18" s="323">
        <v>0</v>
      </c>
      <c r="O18" s="323">
        <v>0</v>
      </c>
      <c r="P18" s="323">
        <v>0</v>
      </c>
      <c r="Q18" s="323">
        <v>0</v>
      </c>
      <c r="R18" s="323">
        <v>0</v>
      </c>
      <c r="S18" s="323">
        <v>0</v>
      </c>
      <c r="T18" s="323">
        <v>0</v>
      </c>
    </row>
    <row r="19" spans="1:20" s="325" customFormat="1" ht="15.75">
      <c r="A19" s="214">
        <v>4</v>
      </c>
      <c r="B19" s="425" t="s">
        <v>449</v>
      </c>
      <c r="C19" s="570">
        <f t="shared" si="2"/>
        <v>0</v>
      </c>
      <c r="D19" s="570">
        <f t="shared" si="2"/>
        <v>0</v>
      </c>
      <c r="E19" s="450">
        <v>0</v>
      </c>
      <c r="F19" s="450">
        <v>0</v>
      </c>
      <c r="G19" s="450">
        <v>0</v>
      </c>
      <c r="H19" s="450">
        <v>0</v>
      </c>
      <c r="I19" s="323">
        <v>0</v>
      </c>
      <c r="J19" s="323">
        <v>0</v>
      </c>
      <c r="K19" s="323">
        <v>0</v>
      </c>
      <c r="L19" s="323">
        <v>0</v>
      </c>
      <c r="M19" s="323">
        <v>0</v>
      </c>
      <c r="N19" s="323">
        <v>0</v>
      </c>
      <c r="O19" s="323">
        <v>0</v>
      </c>
      <c r="P19" s="323">
        <v>0</v>
      </c>
      <c r="Q19" s="323">
        <v>0</v>
      </c>
      <c r="R19" s="323">
        <v>0</v>
      </c>
      <c r="S19" s="323">
        <v>0</v>
      </c>
      <c r="T19" s="323">
        <v>0</v>
      </c>
    </row>
    <row r="20" spans="1:20" s="325" customFormat="1" ht="15.75">
      <c r="A20" s="214">
        <v>5</v>
      </c>
      <c r="B20" s="425" t="s">
        <v>450</v>
      </c>
      <c r="C20" s="570">
        <f t="shared" si="2"/>
        <v>1</v>
      </c>
      <c r="D20" s="570">
        <f t="shared" si="2"/>
        <v>111250</v>
      </c>
      <c r="E20" s="450">
        <v>1</v>
      </c>
      <c r="F20" s="450">
        <v>111250</v>
      </c>
      <c r="G20" s="450">
        <v>1</v>
      </c>
      <c r="H20" s="450">
        <v>111250</v>
      </c>
      <c r="I20" s="323">
        <v>0</v>
      </c>
      <c r="J20" s="323">
        <v>0</v>
      </c>
      <c r="K20" s="323">
        <v>0</v>
      </c>
      <c r="L20" s="323">
        <v>0</v>
      </c>
      <c r="M20" s="323">
        <v>0</v>
      </c>
      <c r="N20" s="323">
        <v>0</v>
      </c>
      <c r="O20" s="323"/>
      <c r="P20" s="323">
        <v>0</v>
      </c>
      <c r="Q20" s="323">
        <v>0</v>
      </c>
      <c r="R20" s="323">
        <v>0</v>
      </c>
      <c r="S20" s="323">
        <v>0</v>
      </c>
      <c r="T20" s="323">
        <v>0</v>
      </c>
    </row>
    <row r="21" spans="1:20" s="325" customFormat="1" ht="15.75">
      <c r="A21" s="214">
        <v>6</v>
      </c>
      <c r="B21" s="425" t="s">
        <v>451</v>
      </c>
      <c r="C21" s="565">
        <f t="shared" si="2"/>
        <v>0</v>
      </c>
      <c r="D21" s="565">
        <f t="shared" si="2"/>
        <v>0</v>
      </c>
      <c r="E21" s="323">
        <v>0</v>
      </c>
      <c r="F21" s="323">
        <v>0</v>
      </c>
      <c r="G21" s="323">
        <v>0</v>
      </c>
      <c r="H21" s="323">
        <v>0</v>
      </c>
      <c r="I21" s="323">
        <v>0</v>
      </c>
      <c r="J21" s="323">
        <v>0</v>
      </c>
      <c r="K21" s="323">
        <v>0</v>
      </c>
      <c r="L21" s="323">
        <v>0</v>
      </c>
      <c r="M21" s="323">
        <v>0</v>
      </c>
      <c r="N21" s="323">
        <v>0</v>
      </c>
      <c r="O21" s="323">
        <v>0</v>
      </c>
      <c r="P21" s="323">
        <v>0</v>
      </c>
      <c r="Q21" s="323">
        <v>0</v>
      </c>
      <c r="R21" s="323">
        <v>0</v>
      </c>
      <c r="S21" s="323">
        <v>0</v>
      </c>
      <c r="T21" s="323">
        <v>0</v>
      </c>
    </row>
    <row r="22" spans="1:20" s="325" customFormat="1" ht="15.75">
      <c r="A22" s="214">
        <v>7</v>
      </c>
      <c r="B22" s="425" t="s">
        <v>452</v>
      </c>
      <c r="C22" s="565">
        <f t="shared" si="2"/>
        <v>0</v>
      </c>
      <c r="D22" s="565">
        <f t="shared" si="2"/>
        <v>0</v>
      </c>
      <c r="E22" s="323">
        <v>0</v>
      </c>
      <c r="F22" s="323">
        <v>0</v>
      </c>
      <c r="G22" s="323">
        <v>0</v>
      </c>
      <c r="H22" s="323">
        <v>0</v>
      </c>
      <c r="I22" s="323">
        <v>0</v>
      </c>
      <c r="J22" s="323">
        <v>0</v>
      </c>
      <c r="K22" s="323">
        <v>0</v>
      </c>
      <c r="L22" s="323">
        <v>0</v>
      </c>
      <c r="M22" s="323">
        <v>0</v>
      </c>
      <c r="N22" s="323">
        <v>0</v>
      </c>
      <c r="O22" s="323">
        <v>0</v>
      </c>
      <c r="P22" s="323">
        <v>0</v>
      </c>
      <c r="Q22" s="323">
        <v>0</v>
      </c>
      <c r="R22" s="323">
        <v>0</v>
      </c>
      <c r="S22" s="323">
        <v>0</v>
      </c>
      <c r="T22" s="323">
        <v>0</v>
      </c>
    </row>
    <row r="23" spans="1:20" s="325" customFormat="1" ht="15.75">
      <c r="A23" s="214">
        <v>8</v>
      </c>
      <c r="B23" s="425" t="s">
        <v>453</v>
      </c>
      <c r="C23" s="565">
        <f t="shared" si="2"/>
        <v>0</v>
      </c>
      <c r="D23" s="565">
        <f t="shared" si="2"/>
        <v>0</v>
      </c>
      <c r="E23" s="323">
        <v>0</v>
      </c>
      <c r="F23" s="323">
        <v>0</v>
      </c>
      <c r="G23" s="323">
        <v>0</v>
      </c>
      <c r="H23" s="323">
        <v>0</v>
      </c>
      <c r="I23" s="323">
        <v>0</v>
      </c>
      <c r="J23" s="323">
        <v>0</v>
      </c>
      <c r="K23" s="323">
        <v>0</v>
      </c>
      <c r="L23" s="323">
        <v>0</v>
      </c>
      <c r="M23" s="323">
        <v>0</v>
      </c>
      <c r="N23" s="323">
        <v>0</v>
      </c>
      <c r="O23" s="323">
        <v>0</v>
      </c>
      <c r="P23" s="323">
        <v>0</v>
      </c>
      <c r="Q23" s="323">
        <v>0</v>
      </c>
      <c r="R23" s="323">
        <v>0</v>
      </c>
      <c r="S23" s="323">
        <v>0</v>
      </c>
      <c r="T23" s="323">
        <v>0</v>
      </c>
    </row>
    <row r="24" spans="1:20" s="325" customFormat="1" ht="15.75">
      <c r="A24" s="214">
        <v>9</v>
      </c>
      <c r="B24" s="425" t="s">
        <v>454</v>
      </c>
      <c r="C24" s="565">
        <f t="shared" si="2"/>
        <v>0</v>
      </c>
      <c r="D24" s="565">
        <f t="shared" si="2"/>
        <v>0</v>
      </c>
      <c r="E24" s="323">
        <v>0</v>
      </c>
      <c r="F24" s="323">
        <v>0</v>
      </c>
      <c r="G24" s="323">
        <v>0</v>
      </c>
      <c r="H24" s="323">
        <v>0</v>
      </c>
      <c r="I24" s="323">
        <v>0</v>
      </c>
      <c r="J24" s="323">
        <v>0</v>
      </c>
      <c r="K24" s="323">
        <v>0</v>
      </c>
      <c r="L24" s="323">
        <v>0</v>
      </c>
      <c r="M24" s="323">
        <v>0</v>
      </c>
      <c r="N24" s="323">
        <v>0</v>
      </c>
      <c r="O24" s="323">
        <v>0</v>
      </c>
      <c r="P24" s="323">
        <v>0</v>
      </c>
      <c r="Q24" s="323">
        <v>0</v>
      </c>
      <c r="R24" s="323">
        <v>0</v>
      </c>
      <c r="S24" s="323">
        <v>0</v>
      </c>
      <c r="T24" s="323">
        <v>0</v>
      </c>
    </row>
    <row r="25" spans="1:20" s="325" customFormat="1" ht="16.5" thickBot="1">
      <c r="A25" s="300">
        <v>10</v>
      </c>
      <c r="B25" s="684" t="s">
        <v>455</v>
      </c>
      <c r="C25" s="692">
        <f t="shared" si="2"/>
        <v>0</v>
      </c>
      <c r="D25" s="692">
        <f t="shared" si="2"/>
        <v>0</v>
      </c>
      <c r="E25" s="693">
        <v>0</v>
      </c>
      <c r="F25" s="693">
        <v>0</v>
      </c>
      <c r="G25" s="693">
        <v>0</v>
      </c>
      <c r="H25" s="693">
        <v>0</v>
      </c>
      <c r="I25" s="693">
        <v>0</v>
      </c>
      <c r="J25" s="693">
        <v>0</v>
      </c>
      <c r="K25" s="693">
        <v>0</v>
      </c>
      <c r="L25" s="693">
        <v>0</v>
      </c>
      <c r="M25" s="693">
        <v>0</v>
      </c>
      <c r="N25" s="693">
        <v>0</v>
      </c>
      <c r="O25" s="693">
        <v>0</v>
      </c>
      <c r="P25" s="693">
        <v>0</v>
      </c>
      <c r="Q25" s="693">
        <v>0</v>
      </c>
      <c r="R25" s="693">
        <v>0</v>
      </c>
      <c r="S25" s="693">
        <v>0</v>
      </c>
      <c r="T25" s="693">
        <v>0</v>
      </c>
    </row>
    <row r="26" spans="1:20" ht="17.25" customHeight="1" thickTop="1">
      <c r="A26" s="832" t="s">
        <v>384</v>
      </c>
      <c r="B26" s="832"/>
      <c r="C26" s="832"/>
      <c r="D26" s="832"/>
      <c r="E26" s="832"/>
      <c r="F26" s="832"/>
      <c r="G26" s="832"/>
      <c r="H26" s="242"/>
      <c r="I26" s="242"/>
      <c r="J26" s="280"/>
      <c r="K26" s="301"/>
      <c r="L26" s="301"/>
      <c r="M26" s="838" t="s">
        <v>384</v>
      </c>
      <c r="N26" s="838"/>
      <c r="O26" s="838"/>
      <c r="P26" s="838"/>
      <c r="Q26" s="838"/>
      <c r="R26" s="838"/>
      <c r="S26" s="838"/>
      <c r="T26" s="838"/>
    </row>
    <row r="27" spans="1:20" ht="16.5" customHeight="1">
      <c r="A27" s="833" t="s">
        <v>172</v>
      </c>
      <c r="B27" s="833"/>
      <c r="C27" s="833"/>
      <c r="D27" s="833"/>
      <c r="E27" s="833"/>
      <c r="F27" s="833"/>
      <c r="G27" s="833"/>
      <c r="H27" s="245"/>
      <c r="I27" s="245"/>
      <c r="J27" s="245"/>
      <c r="K27" s="242"/>
      <c r="L27" s="242"/>
      <c r="M27" s="743" t="s">
        <v>660</v>
      </c>
      <c r="N27" s="743"/>
      <c r="O27" s="743"/>
      <c r="P27" s="743"/>
      <c r="Q27" s="743"/>
      <c r="R27" s="743"/>
      <c r="S27" s="743"/>
      <c r="T27" s="743"/>
    </row>
    <row r="28" spans="1:20" ht="16.5">
      <c r="A28" s="303"/>
      <c r="B28" s="831"/>
      <c r="C28" s="831"/>
      <c r="D28" s="831"/>
      <c r="E28" s="831"/>
      <c r="F28" s="831"/>
      <c r="G28" s="304"/>
      <c r="H28" s="304"/>
      <c r="I28" s="304"/>
      <c r="J28" s="304"/>
      <c r="K28" s="242"/>
      <c r="L28" s="242"/>
      <c r="M28" s="743" t="s">
        <v>656</v>
      </c>
      <c r="N28" s="743"/>
      <c r="O28" s="743"/>
      <c r="P28" s="743"/>
      <c r="Q28" s="743"/>
      <c r="R28" s="743"/>
      <c r="S28" s="743"/>
      <c r="T28" s="743"/>
    </row>
    <row r="29" spans="1:20" ht="15.75" customHeight="1">
      <c r="A29" s="303"/>
      <c r="B29" s="305"/>
      <c r="C29" s="305"/>
      <c r="D29" s="305"/>
      <c r="E29" s="305"/>
      <c r="F29" s="305"/>
      <c r="G29" s="305"/>
      <c r="H29" s="305"/>
      <c r="I29" s="305"/>
      <c r="J29" s="305"/>
      <c r="K29" s="242"/>
      <c r="L29" s="242"/>
      <c r="M29" s="242"/>
      <c r="N29" s="242"/>
      <c r="O29" s="242"/>
      <c r="P29" s="242"/>
      <c r="Q29" s="242"/>
      <c r="R29" s="242"/>
      <c r="S29" s="242"/>
      <c r="T29" s="242"/>
    </row>
    <row r="30" spans="1:20" ht="15.75" customHeight="1">
      <c r="A30" s="303"/>
      <c r="B30" s="305"/>
      <c r="C30" s="305"/>
      <c r="D30" s="305"/>
      <c r="E30" s="305"/>
      <c r="F30" s="305"/>
      <c r="G30" s="305"/>
      <c r="H30" s="305"/>
      <c r="I30" s="305"/>
      <c r="J30" s="305"/>
      <c r="K30" s="242"/>
      <c r="L30" s="242"/>
      <c r="M30" s="280"/>
      <c r="N30" s="280"/>
      <c r="O30" s="280"/>
      <c r="P30" s="280"/>
      <c r="Q30" s="280"/>
      <c r="R30" s="242"/>
      <c r="S30" s="242"/>
      <c r="T30" s="242"/>
    </row>
    <row r="31" spans="1:20" ht="15.75" customHeight="1">
      <c r="A31" s="303"/>
      <c r="B31" s="305"/>
      <c r="C31" s="305"/>
      <c r="D31" s="305"/>
      <c r="E31" s="305"/>
      <c r="F31" s="305"/>
      <c r="G31" s="305"/>
      <c r="H31" s="305"/>
      <c r="I31" s="305"/>
      <c r="J31" s="305"/>
      <c r="K31" s="242"/>
      <c r="L31" s="242"/>
      <c r="M31" s="280"/>
      <c r="N31" s="280"/>
      <c r="O31" s="280"/>
      <c r="P31" s="280"/>
      <c r="Q31" s="280"/>
      <c r="R31" s="242"/>
      <c r="S31" s="242"/>
      <c r="T31" s="242"/>
    </row>
    <row r="32" spans="1:20" ht="16.5">
      <c r="A32" s="824" t="s">
        <v>390</v>
      </c>
      <c r="B32" s="824"/>
      <c r="C32" s="824"/>
      <c r="D32" s="824"/>
      <c r="E32" s="824"/>
      <c r="F32" s="824"/>
      <c r="G32" s="824"/>
      <c r="H32" s="305"/>
      <c r="I32" s="305"/>
      <c r="J32" s="305"/>
      <c r="K32" s="242"/>
      <c r="L32" s="242"/>
      <c r="M32" s="824" t="s">
        <v>2</v>
      </c>
      <c r="N32" s="824"/>
      <c r="O32" s="824"/>
      <c r="P32" s="824"/>
      <c r="Q32" s="824"/>
      <c r="R32" s="824"/>
      <c r="S32" s="824"/>
      <c r="T32" s="824"/>
    </row>
  </sheetData>
  <sheetProtection/>
  <mergeCells count="37">
    <mergeCell ref="M26:T26"/>
    <mergeCell ref="M27:T27"/>
    <mergeCell ref="M28:T28"/>
    <mergeCell ref="M32:T32"/>
    <mergeCell ref="A27:G27"/>
    <mergeCell ref="E8:L8"/>
    <mergeCell ref="P3:T3"/>
    <mergeCell ref="A13:B13"/>
    <mergeCell ref="G9:L9"/>
    <mergeCell ref="M9:N9"/>
    <mergeCell ref="O9:T9"/>
    <mergeCell ref="M10:M11"/>
    <mergeCell ref="N10:N11"/>
    <mergeCell ref="G10:H10"/>
    <mergeCell ref="A32:G32"/>
    <mergeCell ref="O10:P10"/>
    <mergeCell ref="Q10:R10"/>
    <mergeCell ref="S10:T10"/>
    <mergeCell ref="A12:B12"/>
    <mergeCell ref="E10:E11"/>
    <mergeCell ref="F10:F11"/>
    <mergeCell ref="A7:B11"/>
    <mergeCell ref="B28:F28"/>
    <mergeCell ref="A26:G26"/>
    <mergeCell ref="F6:O6"/>
    <mergeCell ref="A2:D2"/>
    <mergeCell ref="F2:O5"/>
    <mergeCell ref="A3:D3"/>
    <mergeCell ref="A4:D4"/>
    <mergeCell ref="C7:D7"/>
    <mergeCell ref="E7:T7"/>
    <mergeCell ref="C8:C11"/>
    <mergeCell ref="D8:D11"/>
    <mergeCell ref="M8:T8"/>
    <mergeCell ref="E9:F9"/>
    <mergeCell ref="I10:J10"/>
    <mergeCell ref="K10:L10"/>
  </mergeCells>
  <printOptions/>
  <pageMargins left="0.25" right="0" top="0" bottom="0"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29"/>
  </sheetPr>
  <dimension ref="A1:L31"/>
  <sheetViews>
    <sheetView zoomScalePageLayoutView="0" workbookViewId="0" topLeftCell="A10">
      <selection activeCell="H24" sqref="H24:L24"/>
    </sheetView>
  </sheetViews>
  <sheetFormatPr defaultColWidth="9.00390625" defaultRowHeight="15.75"/>
  <cols>
    <col min="1" max="1" width="4.25390625" style="46" customWidth="1"/>
    <col min="2" max="2" width="24.00390625" style="46" customWidth="1"/>
    <col min="3" max="3" width="10.875" style="46" customWidth="1"/>
    <col min="4" max="4" width="10.50390625" style="46" customWidth="1"/>
    <col min="5" max="5" width="9.75390625" style="46" customWidth="1"/>
    <col min="6" max="6" width="10.625" style="46" customWidth="1"/>
    <col min="7" max="7" width="10.75390625" style="46" customWidth="1"/>
    <col min="8" max="8" width="11.50390625" style="46" customWidth="1"/>
    <col min="9" max="9" width="10.50390625" style="46" customWidth="1"/>
    <col min="10" max="10" width="10.125" style="46" customWidth="1"/>
    <col min="11" max="11" width="10.625" style="46" customWidth="1"/>
    <col min="12" max="12" width="10.75390625" style="46" customWidth="1"/>
    <col min="13" max="16384" width="9.00390625" style="46" customWidth="1"/>
  </cols>
  <sheetData>
    <row r="1" spans="1:12" ht="15.75">
      <c r="A1" s="822" t="s">
        <v>581</v>
      </c>
      <c r="B1" s="822"/>
      <c r="C1" s="822"/>
      <c r="D1" s="823" t="s">
        <v>9</v>
      </c>
      <c r="E1" s="823"/>
      <c r="F1" s="823"/>
      <c r="G1" s="823"/>
      <c r="H1" s="823"/>
      <c r="I1" s="842" t="s">
        <v>379</v>
      </c>
      <c r="J1" s="842"/>
      <c r="K1" s="842"/>
      <c r="L1" s="842"/>
    </row>
    <row r="2" spans="1:12" s="325" customFormat="1" ht="15.75">
      <c r="A2" s="843" t="s">
        <v>370</v>
      </c>
      <c r="B2" s="843"/>
      <c r="C2" s="843"/>
      <c r="D2" s="823"/>
      <c r="E2" s="823"/>
      <c r="F2" s="823"/>
      <c r="G2" s="823"/>
      <c r="H2" s="823"/>
      <c r="I2" s="787" t="s">
        <v>388</v>
      </c>
      <c r="J2" s="787"/>
      <c r="K2" s="787"/>
      <c r="L2" s="787"/>
    </row>
    <row r="3" spans="1:12" ht="16.5">
      <c r="A3" s="822" t="s">
        <v>368</v>
      </c>
      <c r="B3" s="822"/>
      <c r="C3" s="822"/>
      <c r="D3" s="231"/>
      <c r="E3" s="231"/>
      <c r="F3" s="231"/>
      <c r="G3" s="231"/>
      <c r="H3" s="231"/>
      <c r="I3" s="844" t="s">
        <v>378</v>
      </c>
      <c r="J3" s="844"/>
      <c r="K3" s="844"/>
      <c r="L3" s="844"/>
    </row>
    <row r="4" spans="1:12" s="325" customFormat="1" ht="15.75">
      <c r="A4" s="845" t="s">
        <v>372</v>
      </c>
      <c r="B4" s="845"/>
      <c r="C4" s="845"/>
      <c r="D4" s="846" t="s">
        <v>10</v>
      </c>
      <c r="E4" s="846"/>
      <c r="F4" s="846"/>
      <c r="G4" s="846"/>
      <c r="H4" s="846"/>
      <c r="I4" s="787" t="s">
        <v>392</v>
      </c>
      <c r="J4" s="787"/>
      <c r="K4" s="787"/>
      <c r="L4" s="787"/>
    </row>
    <row r="5" spans="1:12" s="325" customFormat="1" ht="15.75">
      <c r="A5" s="847"/>
      <c r="B5" s="847"/>
      <c r="C5" s="339"/>
      <c r="D5" s="280"/>
      <c r="E5" s="280"/>
      <c r="F5" s="280"/>
      <c r="G5" s="280"/>
      <c r="H5" s="298"/>
      <c r="I5" s="848" t="s">
        <v>582</v>
      </c>
      <c r="J5" s="848"/>
      <c r="K5" s="848"/>
      <c r="L5" s="848"/>
    </row>
    <row r="6" spans="1:12" s="325" customFormat="1" ht="15.75">
      <c r="A6" s="854" t="s">
        <v>294</v>
      </c>
      <c r="B6" s="855"/>
      <c r="C6" s="849" t="s">
        <v>583</v>
      </c>
      <c r="D6" s="839" t="s">
        <v>584</v>
      </c>
      <c r="E6" s="840"/>
      <c r="F6" s="841"/>
      <c r="G6" s="839" t="s">
        <v>585</v>
      </c>
      <c r="H6" s="840"/>
      <c r="I6" s="840"/>
      <c r="J6" s="840"/>
      <c r="K6" s="840"/>
      <c r="L6" s="841"/>
    </row>
    <row r="7" spans="1:12" s="325" customFormat="1" ht="15.75">
      <c r="A7" s="856"/>
      <c r="B7" s="857"/>
      <c r="C7" s="853"/>
      <c r="D7" s="839" t="s">
        <v>106</v>
      </c>
      <c r="E7" s="840"/>
      <c r="F7" s="841"/>
      <c r="G7" s="849" t="s">
        <v>146</v>
      </c>
      <c r="H7" s="839" t="s">
        <v>106</v>
      </c>
      <c r="I7" s="840"/>
      <c r="J7" s="840"/>
      <c r="K7" s="840"/>
      <c r="L7" s="841"/>
    </row>
    <row r="8" spans="1:12" s="325" customFormat="1" ht="15.75">
      <c r="A8" s="856"/>
      <c r="B8" s="857"/>
      <c r="C8" s="853"/>
      <c r="D8" s="849" t="s">
        <v>586</v>
      </c>
      <c r="E8" s="849" t="s">
        <v>587</v>
      </c>
      <c r="F8" s="849" t="s">
        <v>588</v>
      </c>
      <c r="G8" s="853"/>
      <c r="H8" s="849" t="s">
        <v>589</v>
      </c>
      <c r="I8" s="849" t="s">
        <v>590</v>
      </c>
      <c r="J8" s="849" t="s">
        <v>591</v>
      </c>
      <c r="K8" s="849" t="s">
        <v>592</v>
      </c>
      <c r="L8" s="849" t="s">
        <v>593</v>
      </c>
    </row>
    <row r="9" spans="1:12" s="325" customFormat="1" ht="97.5" customHeight="1">
      <c r="A9" s="858"/>
      <c r="B9" s="859"/>
      <c r="C9" s="850"/>
      <c r="D9" s="850"/>
      <c r="E9" s="850"/>
      <c r="F9" s="850"/>
      <c r="G9" s="850"/>
      <c r="H9" s="850"/>
      <c r="I9" s="850"/>
      <c r="J9" s="850"/>
      <c r="K9" s="850"/>
      <c r="L9" s="850"/>
    </row>
    <row r="10" spans="1:12" s="325" customFormat="1" ht="13.5" customHeight="1">
      <c r="A10" s="860" t="s">
        <v>105</v>
      </c>
      <c r="B10" s="861"/>
      <c r="C10" s="375">
        <v>1</v>
      </c>
      <c r="D10" s="375">
        <v>2</v>
      </c>
      <c r="E10" s="375">
        <v>3</v>
      </c>
      <c r="F10" s="375">
        <v>4</v>
      </c>
      <c r="G10" s="375">
        <v>5</v>
      </c>
      <c r="H10" s="375">
        <v>6</v>
      </c>
      <c r="I10" s="375">
        <v>7</v>
      </c>
      <c r="J10" s="375">
        <v>8</v>
      </c>
      <c r="K10" s="375" t="s">
        <v>301</v>
      </c>
      <c r="L10" s="375" t="s">
        <v>345</v>
      </c>
    </row>
    <row r="11" spans="1:12" s="325" customFormat="1" ht="15.75">
      <c r="A11" s="851" t="s">
        <v>146</v>
      </c>
      <c r="B11" s="852"/>
      <c r="C11" s="565">
        <f>C12+C13</f>
        <v>5</v>
      </c>
      <c r="D11" s="565">
        <f aca="true" t="shared" si="0" ref="D11:L11">D12+D13</f>
        <v>0</v>
      </c>
      <c r="E11" s="565">
        <f t="shared" si="0"/>
        <v>2</v>
      </c>
      <c r="F11" s="565">
        <f t="shared" si="0"/>
        <v>3</v>
      </c>
      <c r="G11" s="565">
        <f t="shared" si="0"/>
        <v>4</v>
      </c>
      <c r="H11" s="565">
        <f t="shared" si="0"/>
        <v>0</v>
      </c>
      <c r="I11" s="565">
        <f t="shared" si="0"/>
        <v>0</v>
      </c>
      <c r="J11" s="565">
        <f t="shared" si="0"/>
        <v>0</v>
      </c>
      <c r="K11" s="565">
        <f t="shared" si="0"/>
        <v>0</v>
      </c>
      <c r="L11" s="565">
        <f t="shared" si="0"/>
        <v>4</v>
      </c>
    </row>
    <row r="12" spans="1:12" s="351" customFormat="1" ht="15.75">
      <c r="A12" s="214" t="s">
        <v>14</v>
      </c>
      <c r="B12" s="293" t="s">
        <v>512</v>
      </c>
      <c r="C12" s="565">
        <f>D12+E12+F12</f>
        <v>1</v>
      </c>
      <c r="D12" s="324">
        <v>0</v>
      </c>
      <c r="E12" s="324">
        <v>1</v>
      </c>
      <c r="F12" s="324">
        <v>0</v>
      </c>
      <c r="G12" s="565">
        <f>H12+I12+J12+K12+L12</f>
        <v>0</v>
      </c>
      <c r="H12" s="324">
        <v>0</v>
      </c>
      <c r="I12" s="324">
        <v>0</v>
      </c>
      <c r="J12" s="323">
        <v>0</v>
      </c>
      <c r="K12" s="323">
        <v>0</v>
      </c>
      <c r="L12" s="323">
        <v>0</v>
      </c>
    </row>
    <row r="13" spans="1:12" s="325" customFormat="1" ht="15.75">
      <c r="A13" s="299" t="s">
        <v>15</v>
      </c>
      <c r="B13" s="293" t="s">
        <v>125</v>
      </c>
      <c r="C13" s="565">
        <f>C14+C15+C16+C17+C18+C19+C20+C21+C22+C23</f>
        <v>4</v>
      </c>
      <c r="D13" s="565">
        <f aca="true" t="shared" si="1" ref="D13:L13">D14+D15+D16+D17+D18+D19+D20+D21+D22+D23</f>
        <v>0</v>
      </c>
      <c r="E13" s="565">
        <f t="shared" si="1"/>
        <v>1</v>
      </c>
      <c r="F13" s="565">
        <f t="shared" si="1"/>
        <v>3</v>
      </c>
      <c r="G13" s="565">
        <f t="shared" si="1"/>
        <v>4</v>
      </c>
      <c r="H13" s="565">
        <f t="shared" si="1"/>
        <v>0</v>
      </c>
      <c r="I13" s="565">
        <f t="shared" si="1"/>
        <v>0</v>
      </c>
      <c r="J13" s="565">
        <f t="shared" si="1"/>
        <v>0</v>
      </c>
      <c r="K13" s="565">
        <f t="shared" si="1"/>
        <v>0</v>
      </c>
      <c r="L13" s="565">
        <f t="shared" si="1"/>
        <v>4</v>
      </c>
    </row>
    <row r="14" spans="1:12" s="351" customFormat="1" ht="15.75">
      <c r="A14" s="214">
        <v>1</v>
      </c>
      <c r="B14" s="425" t="s">
        <v>446</v>
      </c>
      <c r="C14" s="565">
        <f>D14+E14+F14</f>
        <v>0</v>
      </c>
      <c r="D14" s="324">
        <v>0</v>
      </c>
      <c r="E14" s="324">
        <v>0</v>
      </c>
      <c r="F14" s="324">
        <v>0</v>
      </c>
      <c r="G14" s="565">
        <f>H14+I14+J14+K14+L14</f>
        <v>0</v>
      </c>
      <c r="H14" s="324">
        <v>0</v>
      </c>
      <c r="I14" s="324">
        <v>0</v>
      </c>
      <c r="J14" s="323">
        <v>0</v>
      </c>
      <c r="K14" s="323">
        <v>0</v>
      </c>
      <c r="L14" s="323">
        <v>0</v>
      </c>
    </row>
    <row r="15" spans="1:12" s="351" customFormat="1" ht="15.75">
      <c r="A15" s="214">
        <v>2</v>
      </c>
      <c r="B15" s="425" t="s">
        <v>447</v>
      </c>
      <c r="C15" s="565">
        <f aca="true" t="shared" si="2" ref="C15:C23">D15+E15+F15</f>
        <v>0</v>
      </c>
      <c r="D15" s="324">
        <v>0</v>
      </c>
      <c r="E15" s="324">
        <v>0</v>
      </c>
      <c r="F15" s="324">
        <v>0</v>
      </c>
      <c r="G15" s="565">
        <f aca="true" t="shared" si="3" ref="G15:G22">H15+I15+J15+K15+L15</f>
        <v>0</v>
      </c>
      <c r="H15" s="324">
        <v>0</v>
      </c>
      <c r="I15" s="324">
        <v>0</v>
      </c>
      <c r="J15" s="323">
        <v>0</v>
      </c>
      <c r="K15" s="323">
        <v>0</v>
      </c>
      <c r="L15" s="323">
        <v>0</v>
      </c>
    </row>
    <row r="16" spans="1:12" s="351" customFormat="1" ht="15.75">
      <c r="A16" s="214">
        <v>3</v>
      </c>
      <c r="B16" s="425" t="s">
        <v>448</v>
      </c>
      <c r="C16" s="565">
        <f t="shared" si="2"/>
        <v>0</v>
      </c>
      <c r="D16" s="324">
        <v>0</v>
      </c>
      <c r="E16" s="324">
        <v>0</v>
      </c>
      <c r="F16" s="324">
        <v>0</v>
      </c>
      <c r="G16" s="565">
        <f t="shared" si="3"/>
        <v>0</v>
      </c>
      <c r="H16" s="324">
        <v>0</v>
      </c>
      <c r="I16" s="324">
        <v>0</v>
      </c>
      <c r="J16" s="323">
        <v>0</v>
      </c>
      <c r="K16" s="323">
        <v>0</v>
      </c>
      <c r="L16" s="323">
        <v>0</v>
      </c>
    </row>
    <row r="17" spans="1:12" s="351" customFormat="1" ht="15.75">
      <c r="A17" s="214">
        <v>4</v>
      </c>
      <c r="B17" s="425" t="s">
        <v>449</v>
      </c>
      <c r="C17" s="565">
        <f t="shared" si="2"/>
        <v>2</v>
      </c>
      <c r="D17" s="324">
        <v>0</v>
      </c>
      <c r="E17" s="324">
        <v>1</v>
      </c>
      <c r="F17" s="324">
        <v>1</v>
      </c>
      <c r="G17" s="565">
        <f t="shared" si="3"/>
        <v>2</v>
      </c>
      <c r="H17" s="324">
        <v>0</v>
      </c>
      <c r="I17" s="324">
        <v>0</v>
      </c>
      <c r="J17" s="323">
        <v>0</v>
      </c>
      <c r="K17" s="323">
        <v>0</v>
      </c>
      <c r="L17" s="323">
        <v>2</v>
      </c>
    </row>
    <row r="18" spans="1:12" s="351" customFormat="1" ht="15.75">
      <c r="A18" s="214">
        <v>5</v>
      </c>
      <c r="B18" s="425" t="s">
        <v>450</v>
      </c>
      <c r="C18" s="565">
        <f t="shared" si="2"/>
        <v>0</v>
      </c>
      <c r="D18" s="324">
        <v>0</v>
      </c>
      <c r="E18" s="324">
        <v>0</v>
      </c>
      <c r="F18" s="324">
        <v>0</v>
      </c>
      <c r="G18" s="565">
        <f t="shared" si="3"/>
        <v>0</v>
      </c>
      <c r="H18" s="324">
        <v>0</v>
      </c>
      <c r="I18" s="324">
        <v>0</v>
      </c>
      <c r="J18" s="323">
        <v>0</v>
      </c>
      <c r="K18" s="323">
        <v>0</v>
      </c>
      <c r="L18" s="323">
        <v>0</v>
      </c>
    </row>
    <row r="19" spans="1:12" s="351" customFormat="1" ht="15.75">
      <c r="A19" s="214">
        <v>6</v>
      </c>
      <c r="B19" s="425" t="s">
        <v>451</v>
      </c>
      <c r="C19" s="565">
        <f t="shared" si="2"/>
        <v>0</v>
      </c>
      <c r="D19" s="324">
        <v>0</v>
      </c>
      <c r="E19" s="324">
        <v>0</v>
      </c>
      <c r="F19" s="324">
        <v>0</v>
      </c>
      <c r="G19" s="565">
        <f t="shared" si="3"/>
        <v>0</v>
      </c>
      <c r="H19" s="324">
        <v>0</v>
      </c>
      <c r="I19" s="324">
        <v>0</v>
      </c>
      <c r="J19" s="323">
        <v>0</v>
      </c>
      <c r="K19" s="323">
        <v>0</v>
      </c>
      <c r="L19" s="323">
        <v>0</v>
      </c>
    </row>
    <row r="20" spans="1:12" s="351" customFormat="1" ht="15.75">
      <c r="A20" s="214">
        <v>7</v>
      </c>
      <c r="B20" s="425" t="s">
        <v>452</v>
      </c>
      <c r="C20" s="565">
        <f t="shared" si="2"/>
        <v>1</v>
      </c>
      <c r="D20" s="324">
        <v>0</v>
      </c>
      <c r="E20" s="324">
        <v>0</v>
      </c>
      <c r="F20" s="324">
        <v>1</v>
      </c>
      <c r="G20" s="565">
        <f t="shared" si="3"/>
        <v>1</v>
      </c>
      <c r="H20" s="324">
        <v>0</v>
      </c>
      <c r="I20" s="324">
        <v>0</v>
      </c>
      <c r="J20" s="323">
        <v>0</v>
      </c>
      <c r="K20" s="323">
        <v>0</v>
      </c>
      <c r="L20" s="323">
        <v>1</v>
      </c>
    </row>
    <row r="21" spans="1:12" s="351" customFormat="1" ht="15.75">
      <c r="A21" s="214">
        <v>8</v>
      </c>
      <c r="B21" s="425" t="s">
        <v>453</v>
      </c>
      <c r="C21" s="565">
        <f t="shared" si="2"/>
        <v>0</v>
      </c>
      <c r="D21" s="324">
        <v>0</v>
      </c>
      <c r="E21" s="324">
        <v>0</v>
      </c>
      <c r="F21" s="324">
        <v>0</v>
      </c>
      <c r="G21" s="565">
        <f t="shared" si="3"/>
        <v>0</v>
      </c>
      <c r="H21" s="324">
        <v>0</v>
      </c>
      <c r="I21" s="324">
        <v>0</v>
      </c>
      <c r="J21" s="323">
        <v>0</v>
      </c>
      <c r="K21" s="323">
        <v>0</v>
      </c>
      <c r="L21" s="323">
        <v>0</v>
      </c>
    </row>
    <row r="22" spans="1:12" s="351" customFormat="1" ht="15.75">
      <c r="A22" s="214">
        <v>9</v>
      </c>
      <c r="B22" s="425" t="s">
        <v>454</v>
      </c>
      <c r="C22" s="565">
        <f t="shared" si="2"/>
        <v>0</v>
      </c>
      <c r="D22" s="324">
        <v>0</v>
      </c>
      <c r="E22" s="324">
        <v>0</v>
      </c>
      <c r="F22" s="324">
        <v>0</v>
      </c>
      <c r="G22" s="565">
        <f t="shared" si="3"/>
        <v>0</v>
      </c>
      <c r="H22" s="324">
        <v>0</v>
      </c>
      <c r="I22" s="324">
        <v>0</v>
      </c>
      <c r="J22" s="323">
        <v>0</v>
      </c>
      <c r="K22" s="323">
        <v>0</v>
      </c>
      <c r="L22" s="323">
        <v>0</v>
      </c>
    </row>
    <row r="23" spans="1:12" s="351" customFormat="1" ht="16.5" thickBot="1">
      <c r="A23" s="300">
        <v>10</v>
      </c>
      <c r="B23" s="684" t="s">
        <v>455</v>
      </c>
      <c r="C23" s="692">
        <f t="shared" si="2"/>
        <v>1</v>
      </c>
      <c r="D23" s="694">
        <v>0</v>
      </c>
      <c r="E23" s="694">
        <v>0</v>
      </c>
      <c r="F23" s="694">
        <v>1</v>
      </c>
      <c r="G23" s="692">
        <f>H23+I23+J23+K23+L23</f>
        <v>1</v>
      </c>
      <c r="H23" s="694">
        <v>0</v>
      </c>
      <c r="I23" s="694">
        <v>0</v>
      </c>
      <c r="J23" s="693">
        <v>0</v>
      </c>
      <c r="K23" s="693">
        <v>0</v>
      </c>
      <c r="L23" s="693">
        <v>1</v>
      </c>
    </row>
    <row r="24" spans="1:12" ht="17.25" customHeight="1" thickTop="1">
      <c r="A24" s="832" t="s">
        <v>384</v>
      </c>
      <c r="B24" s="832"/>
      <c r="C24" s="832"/>
      <c r="D24" s="832"/>
      <c r="E24" s="832"/>
      <c r="F24" s="301"/>
      <c r="G24" s="301"/>
      <c r="H24" s="742" t="s">
        <v>384</v>
      </c>
      <c r="I24" s="742"/>
      <c r="J24" s="742"/>
      <c r="K24" s="742"/>
      <c r="L24" s="742"/>
    </row>
    <row r="25" spans="1:12" ht="16.5">
      <c r="A25" s="833" t="s">
        <v>43</v>
      </c>
      <c r="B25" s="833"/>
      <c r="C25" s="833"/>
      <c r="D25" s="833"/>
      <c r="E25" s="833"/>
      <c r="F25" s="242"/>
      <c r="G25" s="242"/>
      <c r="H25" s="743" t="s">
        <v>660</v>
      </c>
      <c r="I25" s="743"/>
      <c r="J25" s="743"/>
      <c r="K25" s="743"/>
      <c r="L25" s="743"/>
    </row>
    <row r="26" spans="1:12" ht="16.5">
      <c r="A26" s="280"/>
      <c r="B26" s="831"/>
      <c r="C26" s="831"/>
      <c r="D26" s="234"/>
      <c r="E26" s="234"/>
      <c r="F26" s="242"/>
      <c r="G26" s="242"/>
      <c r="H26" s="743" t="s">
        <v>656</v>
      </c>
      <c r="I26" s="743"/>
      <c r="J26" s="743"/>
      <c r="K26" s="743"/>
      <c r="L26" s="743"/>
    </row>
    <row r="27" spans="1:12" ht="15.75" customHeight="1">
      <c r="A27" s="280"/>
      <c r="B27" s="280"/>
      <c r="C27" s="280"/>
      <c r="D27" s="280"/>
      <c r="E27" s="280"/>
      <c r="F27" s="242"/>
      <c r="G27" s="242"/>
      <c r="H27" s="242"/>
      <c r="I27" s="242"/>
      <c r="J27" s="242"/>
      <c r="K27" s="242"/>
      <c r="L27" s="242"/>
    </row>
    <row r="28" spans="1:12" s="325" customFormat="1" ht="15.75">
      <c r="A28" s="280"/>
      <c r="B28" s="280"/>
      <c r="C28" s="280"/>
      <c r="D28" s="280"/>
      <c r="E28" s="280"/>
      <c r="F28" s="280"/>
      <c r="G28" s="280"/>
      <c r="H28" s="280"/>
      <c r="I28" s="280"/>
      <c r="J28" s="280"/>
      <c r="K28" s="280"/>
      <c r="L28" s="280"/>
    </row>
    <row r="29" spans="1:12" s="325" customFormat="1" ht="15.75">
      <c r="A29" s="280"/>
      <c r="B29" s="280"/>
      <c r="C29" s="280"/>
      <c r="D29" s="280"/>
      <c r="E29" s="280"/>
      <c r="F29" s="280"/>
      <c r="G29" s="280"/>
      <c r="H29" s="280"/>
      <c r="I29" s="280"/>
      <c r="J29" s="280"/>
      <c r="K29" s="280"/>
      <c r="L29" s="280"/>
    </row>
    <row r="30" spans="1:12" s="325" customFormat="1" ht="16.5">
      <c r="A30" s="824" t="s">
        <v>390</v>
      </c>
      <c r="B30" s="824"/>
      <c r="C30" s="824"/>
      <c r="D30" s="824"/>
      <c r="E30" s="824"/>
      <c r="F30" s="233"/>
      <c r="G30" s="352"/>
      <c r="H30" s="280"/>
      <c r="I30" s="280"/>
      <c r="J30" s="280"/>
      <c r="K30" s="280"/>
      <c r="L30" s="280"/>
    </row>
    <row r="31" spans="1:12" ht="16.5">
      <c r="A31" s="325"/>
      <c r="B31" s="325"/>
      <c r="C31" s="325"/>
      <c r="D31" s="325"/>
      <c r="E31" s="325"/>
      <c r="F31" s="325"/>
      <c r="G31" s="325"/>
      <c r="H31" s="824" t="s">
        <v>2</v>
      </c>
      <c r="I31" s="824"/>
      <c r="J31" s="824"/>
      <c r="K31" s="824"/>
      <c r="L31" s="824"/>
    </row>
  </sheetData>
  <sheetProtection/>
  <mergeCells count="37">
    <mergeCell ref="A24:E24"/>
    <mergeCell ref="A25:E25"/>
    <mergeCell ref="H31:L31"/>
    <mergeCell ref="B26:C26"/>
    <mergeCell ref="A30:E30"/>
    <mergeCell ref="H24:L24"/>
    <mergeCell ref="H25:L25"/>
    <mergeCell ref="H26:L26"/>
    <mergeCell ref="A10:B10"/>
    <mergeCell ref="E8:E9"/>
    <mergeCell ref="F8:F9"/>
    <mergeCell ref="H8:H9"/>
    <mergeCell ref="I8:I9"/>
    <mergeCell ref="A11:B11"/>
    <mergeCell ref="G7:G9"/>
    <mergeCell ref="H7:L7"/>
    <mergeCell ref="D8:D9"/>
    <mergeCell ref="J8:J9"/>
    <mergeCell ref="K8:K9"/>
    <mergeCell ref="L8:L9"/>
    <mergeCell ref="A6:B9"/>
    <mergeCell ref="C6:C9"/>
    <mergeCell ref="A4:C4"/>
    <mergeCell ref="I4:L4"/>
    <mergeCell ref="D4:H4"/>
    <mergeCell ref="A5:B5"/>
    <mergeCell ref="I5:L5"/>
    <mergeCell ref="D6:F6"/>
    <mergeCell ref="G6:L6"/>
    <mergeCell ref="D7:F7"/>
    <mergeCell ref="A1:C1"/>
    <mergeCell ref="D1:H2"/>
    <mergeCell ref="I1:L1"/>
    <mergeCell ref="A2:C2"/>
    <mergeCell ref="I2:L2"/>
    <mergeCell ref="A3:C3"/>
    <mergeCell ref="I3:L3"/>
  </mergeCells>
  <printOptions/>
  <pageMargins left="0.25" right="0" top="0" bottom="0"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2"/>
  </sheetPr>
  <dimension ref="A1:L29"/>
  <sheetViews>
    <sheetView zoomScalePageLayoutView="0" workbookViewId="0" topLeftCell="A1">
      <selection activeCell="H22" sqref="H22:L22"/>
    </sheetView>
  </sheetViews>
  <sheetFormatPr defaultColWidth="9.00390625" defaultRowHeight="15.75"/>
  <cols>
    <col min="1" max="1" width="3.375" style="0" customWidth="1"/>
    <col min="2" max="2" width="22.50390625" style="0" customWidth="1"/>
    <col min="3" max="3" width="10.625" style="0" customWidth="1"/>
    <col min="4" max="4" width="9.625" style="0" customWidth="1"/>
    <col min="5" max="5" width="10.375" style="0" customWidth="1"/>
    <col min="6" max="6" width="10.125" style="0" customWidth="1"/>
    <col min="7" max="7" width="9.75390625" style="0" customWidth="1"/>
    <col min="8" max="8" width="10.125" style="0" customWidth="1"/>
    <col min="9" max="9" width="10.25390625" style="0" customWidth="1"/>
    <col min="10" max="10" width="10.50390625" style="0" customWidth="1"/>
    <col min="11" max="12" width="10.25390625" style="0" customWidth="1"/>
  </cols>
  <sheetData>
    <row r="1" spans="1:12" ht="29.25" customHeight="1">
      <c r="A1" s="822" t="s">
        <v>562</v>
      </c>
      <c r="B1" s="822"/>
      <c r="C1" s="822"/>
      <c r="D1" s="823" t="s">
        <v>737</v>
      </c>
      <c r="E1" s="823"/>
      <c r="F1" s="823"/>
      <c r="G1" s="823"/>
      <c r="H1" s="823"/>
      <c r="I1" s="823"/>
      <c r="J1" s="868" t="s">
        <v>579</v>
      </c>
      <c r="K1" s="868"/>
      <c r="L1" s="868"/>
    </row>
    <row r="2" spans="1:12" ht="33" customHeight="1">
      <c r="A2" s="869" t="s">
        <v>563</v>
      </c>
      <c r="B2" s="869"/>
      <c r="C2" s="869"/>
      <c r="D2" s="823"/>
      <c r="E2" s="823"/>
      <c r="F2" s="823"/>
      <c r="G2" s="823"/>
      <c r="H2" s="823"/>
      <c r="I2" s="823"/>
      <c r="J2" s="870" t="s">
        <v>580</v>
      </c>
      <c r="K2" s="871"/>
      <c r="L2" s="871"/>
    </row>
    <row r="3" spans="1:12" ht="17.25" customHeight="1">
      <c r="A3" s="296" t="s">
        <v>564</v>
      </c>
      <c r="B3" s="296"/>
      <c r="C3" s="231"/>
      <c r="D3" s="867" t="s">
        <v>1</v>
      </c>
      <c r="E3" s="867"/>
      <c r="F3" s="867"/>
      <c r="G3" s="867"/>
      <c r="H3" s="867"/>
      <c r="I3" s="867"/>
      <c r="J3" s="862" t="s">
        <v>565</v>
      </c>
      <c r="K3" s="862"/>
      <c r="L3" s="862"/>
    </row>
    <row r="4" spans="1:12" ht="15.75">
      <c r="A4" s="257"/>
      <c r="B4" s="257"/>
      <c r="C4" s="230"/>
      <c r="D4" s="230"/>
      <c r="E4" s="230"/>
      <c r="F4" s="230"/>
      <c r="G4" s="230"/>
      <c r="H4" s="297"/>
      <c r="I4" s="297"/>
      <c r="J4" s="230"/>
      <c r="K4" s="230"/>
      <c r="L4" s="230"/>
    </row>
    <row r="5" spans="1:12" ht="26.25" customHeight="1">
      <c r="A5" s="863" t="s">
        <v>294</v>
      </c>
      <c r="B5" s="863"/>
      <c r="C5" s="818" t="s">
        <v>165</v>
      </c>
      <c r="D5" s="818" t="s">
        <v>566</v>
      </c>
      <c r="E5" s="818"/>
      <c r="F5" s="818"/>
      <c r="G5" s="818"/>
      <c r="H5" s="818" t="s">
        <v>567</v>
      </c>
      <c r="I5" s="818"/>
      <c r="J5" s="818" t="s">
        <v>568</v>
      </c>
      <c r="K5" s="818"/>
      <c r="L5" s="818"/>
    </row>
    <row r="6" spans="1:12" ht="63.75">
      <c r="A6" s="863"/>
      <c r="B6" s="863"/>
      <c r="C6" s="818"/>
      <c r="D6" s="269" t="s">
        <v>569</v>
      </c>
      <c r="E6" s="269" t="s">
        <v>570</v>
      </c>
      <c r="F6" s="269" t="s">
        <v>571</v>
      </c>
      <c r="G6" s="269" t="s">
        <v>572</v>
      </c>
      <c r="H6" s="269" t="s">
        <v>573</v>
      </c>
      <c r="I6" s="269" t="s">
        <v>574</v>
      </c>
      <c r="J6" s="269" t="s">
        <v>575</v>
      </c>
      <c r="K6" s="269" t="s">
        <v>576</v>
      </c>
      <c r="L6" s="269" t="s">
        <v>577</v>
      </c>
    </row>
    <row r="7" spans="1:12" ht="12.75" customHeight="1">
      <c r="A7" s="864" t="s">
        <v>105</v>
      </c>
      <c r="B7" s="864"/>
      <c r="C7" s="576">
        <v>1</v>
      </c>
      <c r="D7" s="576">
        <v>2</v>
      </c>
      <c r="E7" s="576">
        <v>3</v>
      </c>
      <c r="F7" s="576">
        <v>4</v>
      </c>
      <c r="G7" s="576">
        <v>5</v>
      </c>
      <c r="H7" s="576">
        <v>6</v>
      </c>
      <c r="I7" s="576">
        <v>7</v>
      </c>
      <c r="J7" s="576">
        <v>8</v>
      </c>
      <c r="K7" s="576">
        <v>9</v>
      </c>
      <c r="L7" s="576">
        <v>10</v>
      </c>
    </row>
    <row r="8" spans="1:12" ht="15.75">
      <c r="A8" s="865" t="s">
        <v>561</v>
      </c>
      <c r="B8" s="865"/>
      <c r="C8" s="565">
        <f>C9+C10</f>
        <v>11</v>
      </c>
      <c r="D8" s="565">
        <f aca="true" t="shared" si="0" ref="D8:K8">D9+D10</f>
        <v>0</v>
      </c>
      <c r="E8" s="565">
        <f t="shared" si="0"/>
        <v>11</v>
      </c>
      <c r="F8" s="565">
        <f t="shared" si="0"/>
        <v>0</v>
      </c>
      <c r="G8" s="565">
        <f t="shared" si="0"/>
        <v>0</v>
      </c>
      <c r="H8" s="565">
        <f t="shared" si="0"/>
        <v>11</v>
      </c>
      <c r="I8" s="565">
        <f t="shared" si="0"/>
        <v>0</v>
      </c>
      <c r="J8" s="565">
        <f t="shared" si="0"/>
        <v>11</v>
      </c>
      <c r="K8" s="565">
        <f t="shared" si="0"/>
        <v>0</v>
      </c>
      <c r="L8" s="565">
        <f>L10+L9</f>
        <v>0</v>
      </c>
    </row>
    <row r="9" spans="1:12" ht="15.75">
      <c r="A9" s="292" t="s">
        <v>14</v>
      </c>
      <c r="B9" s="293" t="s">
        <v>578</v>
      </c>
      <c r="C9" s="565">
        <f>D9+E9+F9+G9</f>
        <v>1</v>
      </c>
      <c r="D9" s="574">
        <v>0</v>
      </c>
      <c r="E9" s="574">
        <v>1</v>
      </c>
      <c r="F9" s="574">
        <v>0</v>
      </c>
      <c r="G9" s="574">
        <v>0</v>
      </c>
      <c r="H9" s="574">
        <v>1</v>
      </c>
      <c r="I9" s="574">
        <v>0</v>
      </c>
      <c r="J9" s="575">
        <v>1</v>
      </c>
      <c r="K9" s="575">
        <v>0</v>
      </c>
      <c r="L9" s="575">
        <v>0</v>
      </c>
    </row>
    <row r="10" spans="1:12" ht="15.75">
      <c r="A10" s="389" t="s">
        <v>15</v>
      </c>
      <c r="B10" s="293" t="s">
        <v>125</v>
      </c>
      <c r="C10" s="565">
        <f>C11+C12+C13+C14+C15+C16+C17+C18+C19+C20</f>
        <v>10</v>
      </c>
      <c r="D10" s="565">
        <f aca="true" t="shared" si="1" ref="D10:L10">D11+D12+D13+D14+D15+D16+D17+D18+D19+D20</f>
        <v>0</v>
      </c>
      <c r="E10" s="565">
        <f t="shared" si="1"/>
        <v>10</v>
      </c>
      <c r="F10" s="565">
        <f t="shared" si="1"/>
        <v>0</v>
      </c>
      <c r="G10" s="565">
        <f t="shared" si="1"/>
        <v>0</v>
      </c>
      <c r="H10" s="565">
        <f t="shared" si="1"/>
        <v>10</v>
      </c>
      <c r="I10" s="565">
        <f t="shared" si="1"/>
        <v>0</v>
      </c>
      <c r="J10" s="565">
        <f t="shared" si="1"/>
        <v>10</v>
      </c>
      <c r="K10" s="565">
        <f t="shared" si="1"/>
        <v>0</v>
      </c>
      <c r="L10" s="565">
        <f t="shared" si="1"/>
        <v>0</v>
      </c>
    </row>
    <row r="11" spans="1:12" ht="15.75">
      <c r="A11" s="239" t="s">
        <v>212</v>
      </c>
      <c r="B11" s="425" t="s">
        <v>446</v>
      </c>
      <c r="C11" s="565">
        <f>D11+E11+F11+G11</f>
        <v>1</v>
      </c>
      <c r="D11" s="324">
        <v>0</v>
      </c>
      <c r="E11" s="324">
        <v>1</v>
      </c>
      <c r="F11" s="324">
        <v>0</v>
      </c>
      <c r="G11" s="324">
        <v>0</v>
      </c>
      <c r="H11" s="324">
        <v>1</v>
      </c>
      <c r="I11" s="324">
        <v>0</v>
      </c>
      <c r="J11" s="386">
        <v>1</v>
      </c>
      <c r="K11" s="353">
        <v>0</v>
      </c>
      <c r="L11" s="350">
        <v>0</v>
      </c>
    </row>
    <row r="12" spans="1:12" ht="15.75">
      <c r="A12" s="239" t="s">
        <v>213</v>
      </c>
      <c r="B12" s="425" t="s">
        <v>447</v>
      </c>
      <c r="C12" s="565">
        <f aca="true" t="shared" si="2" ref="C12:C20">D12+E12+F12+G12</f>
        <v>1</v>
      </c>
      <c r="D12" s="324">
        <v>0</v>
      </c>
      <c r="E12" s="324">
        <v>1</v>
      </c>
      <c r="F12" s="324">
        <v>0</v>
      </c>
      <c r="G12" s="324">
        <v>0</v>
      </c>
      <c r="H12" s="324">
        <v>1</v>
      </c>
      <c r="I12" s="324">
        <v>0</v>
      </c>
      <c r="J12" s="386">
        <v>1</v>
      </c>
      <c r="K12" s="353">
        <v>0</v>
      </c>
      <c r="L12" s="350">
        <v>0</v>
      </c>
    </row>
    <row r="13" spans="1:12" ht="15.75">
      <c r="A13" s="239" t="s">
        <v>214</v>
      </c>
      <c r="B13" s="425" t="s">
        <v>448</v>
      </c>
      <c r="C13" s="565">
        <f t="shared" si="2"/>
        <v>1</v>
      </c>
      <c r="D13" s="324">
        <v>0</v>
      </c>
      <c r="E13" s="324">
        <v>1</v>
      </c>
      <c r="F13" s="324">
        <v>0</v>
      </c>
      <c r="G13" s="324">
        <v>0</v>
      </c>
      <c r="H13" s="324">
        <v>1</v>
      </c>
      <c r="I13" s="324">
        <v>0</v>
      </c>
      <c r="J13" s="386">
        <v>1</v>
      </c>
      <c r="K13" s="353">
        <v>0</v>
      </c>
      <c r="L13" s="350">
        <v>0</v>
      </c>
    </row>
    <row r="14" spans="1:12" ht="15.75">
      <c r="A14" s="239" t="s">
        <v>296</v>
      </c>
      <c r="B14" s="425" t="s">
        <v>449</v>
      </c>
      <c r="C14" s="565">
        <f t="shared" si="2"/>
        <v>1</v>
      </c>
      <c r="D14" s="324">
        <v>0</v>
      </c>
      <c r="E14" s="324">
        <v>1</v>
      </c>
      <c r="F14" s="324">
        <v>0</v>
      </c>
      <c r="G14" s="324">
        <v>0</v>
      </c>
      <c r="H14" s="324">
        <v>1</v>
      </c>
      <c r="I14" s="324">
        <v>0</v>
      </c>
      <c r="J14" s="386">
        <v>1</v>
      </c>
      <c r="K14" s="353">
        <v>0</v>
      </c>
      <c r="L14" s="350">
        <v>0</v>
      </c>
    </row>
    <row r="15" spans="1:12" ht="15.75">
      <c r="A15" s="239" t="s">
        <v>297</v>
      </c>
      <c r="B15" s="425" t="s">
        <v>450</v>
      </c>
      <c r="C15" s="565">
        <f t="shared" si="2"/>
        <v>3</v>
      </c>
      <c r="D15" s="324">
        <v>0</v>
      </c>
      <c r="E15" s="324">
        <v>3</v>
      </c>
      <c r="F15" s="324">
        <v>0</v>
      </c>
      <c r="G15" s="324">
        <v>0</v>
      </c>
      <c r="H15" s="324">
        <v>3</v>
      </c>
      <c r="I15" s="324">
        <v>0</v>
      </c>
      <c r="J15" s="386">
        <v>3</v>
      </c>
      <c r="K15" s="386">
        <v>0</v>
      </c>
      <c r="L15" s="350">
        <v>0</v>
      </c>
    </row>
    <row r="16" spans="1:12" ht="15.75">
      <c r="A16" s="239" t="s">
        <v>298</v>
      </c>
      <c r="B16" s="425" t="s">
        <v>451</v>
      </c>
      <c r="C16" s="565">
        <f t="shared" si="2"/>
        <v>1</v>
      </c>
      <c r="D16" s="324">
        <v>0</v>
      </c>
      <c r="E16" s="324">
        <v>1</v>
      </c>
      <c r="F16" s="324">
        <v>0</v>
      </c>
      <c r="G16" s="324">
        <v>0</v>
      </c>
      <c r="H16" s="324">
        <v>1</v>
      </c>
      <c r="I16" s="324">
        <v>0</v>
      </c>
      <c r="J16" s="386">
        <v>1</v>
      </c>
      <c r="K16" s="353">
        <v>0</v>
      </c>
      <c r="L16" s="350">
        <v>0</v>
      </c>
    </row>
    <row r="17" spans="1:12" ht="15.75">
      <c r="A17" s="239" t="s">
        <v>299</v>
      </c>
      <c r="B17" s="425" t="s">
        <v>452</v>
      </c>
      <c r="C17" s="565">
        <f t="shared" si="2"/>
        <v>0</v>
      </c>
      <c r="D17" s="324">
        <v>0</v>
      </c>
      <c r="E17" s="324">
        <v>0</v>
      </c>
      <c r="F17" s="324">
        <v>0</v>
      </c>
      <c r="G17" s="324">
        <v>0</v>
      </c>
      <c r="H17" s="324">
        <v>0</v>
      </c>
      <c r="I17" s="324">
        <v>0</v>
      </c>
      <c r="J17" s="353">
        <v>0</v>
      </c>
      <c r="K17" s="353">
        <v>0</v>
      </c>
      <c r="L17" s="350">
        <v>0</v>
      </c>
    </row>
    <row r="18" spans="1:12" ht="15.75">
      <c r="A18" s="239" t="s">
        <v>300</v>
      </c>
      <c r="B18" s="425" t="s">
        <v>453</v>
      </c>
      <c r="C18" s="565">
        <f t="shared" si="2"/>
        <v>1</v>
      </c>
      <c r="D18" s="324">
        <v>0</v>
      </c>
      <c r="E18" s="324">
        <v>1</v>
      </c>
      <c r="F18" s="324">
        <v>0</v>
      </c>
      <c r="G18" s="324">
        <v>0</v>
      </c>
      <c r="H18" s="324">
        <v>1</v>
      </c>
      <c r="I18" s="324">
        <v>0</v>
      </c>
      <c r="J18" s="353">
        <v>1</v>
      </c>
      <c r="K18" s="386">
        <v>0</v>
      </c>
      <c r="L18" s="350">
        <v>0</v>
      </c>
    </row>
    <row r="19" spans="1:12" ht="15.75">
      <c r="A19" s="239" t="s">
        <v>301</v>
      </c>
      <c r="B19" s="425" t="s">
        <v>454</v>
      </c>
      <c r="C19" s="565">
        <f t="shared" si="2"/>
        <v>0</v>
      </c>
      <c r="D19" s="324">
        <v>0</v>
      </c>
      <c r="E19" s="324">
        <v>0</v>
      </c>
      <c r="F19" s="324">
        <v>0</v>
      </c>
      <c r="G19" s="324">
        <v>0</v>
      </c>
      <c r="H19" s="324">
        <v>0</v>
      </c>
      <c r="I19" s="324">
        <v>0</v>
      </c>
      <c r="J19" s="350">
        <v>0</v>
      </c>
      <c r="K19" s="350">
        <v>0</v>
      </c>
      <c r="L19" s="350">
        <v>0</v>
      </c>
    </row>
    <row r="20" spans="1:12" ht="16.5" thickBot="1">
      <c r="A20" s="240" t="s">
        <v>345</v>
      </c>
      <c r="B20" s="684" t="s">
        <v>455</v>
      </c>
      <c r="C20" s="692">
        <f t="shared" si="2"/>
        <v>1</v>
      </c>
      <c r="D20" s="694">
        <v>0</v>
      </c>
      <c r="E20" s="694">
        <v>1</v>
      </c>
      <c r="F20" s="694">
        <v>0</v>
      </c>
      <c r="G20" s="694">
        <v>0</v>
      </c>
      <c r="H20" s="694">
        <v>1</v>
      </c>
      <c r="I20" s="694">
        <v>0</v>
      </c>
      <c r="J20" s="693">
        <v>1</v>
      </c>
      <c r="K20" s="695">
        <v>0</v>
      </c>
      <c r="L20" s="695">
        <v>0</v>
      </c>
    </row>
    <row r="21" spans="1:12" ht="12.75" customHeight="1" thickTop="1">
      <c r="A21" s="257"/>
      <c r="B21" s="257"/>
      <c r="C21" s="230"/>
      <c r="D21" s="230"/>
      <c r="E21" s="230"/>
      <c r="F21" s="230"/>
      <c r="G21" s="230"/>
      <c r="H21" s="230"/>
      <c r="I21" s="230"/>
      <c r="J21" s="230"/>
      <c r="K21" s="230"/>
      <c r="L21" s="230"/>
    </row>
    <row r="22" spans="1:12" ht="16.5">
      <c r="A22" s="241"/>
      <c r="B22" s="866" t="s">
        <v>384</v>
      </c>
      <c r="C22" s="866"/>
      <c r="D22" s="866"/>
      <c r="E22" s="243"/>
      <c r="F22" s="242"/>
      <c r="G22" s="242"/>
      <c r="H22" s="742" t="s">
        <v>384</v>
      </c>
      <c r="I22" s="742"/>
      <c r="J22" s="742"/>
      <c r="K22" s="742"/>
      <c r="L22" s="742"/>
    </row>
    <row r="23" spans="1:12" ht="16.5">
      <c r="A23" s="241"/>
      <c r="B23" s="833" t="s">
        <v>538</v>
      </c>
      <c r="C23" s="833"/>
      <c r="D23" s="833"/>
      <c r="E23" s="245"/>
      <c r="F23" s="242"/>
      <c r="G23" s="242"/>
      <c r="H23" s="743" t="s">
        <v>660</v>
      </c>
      <c r="I23" s="743"/>
      <c r="J23" s="743"/>
      <c r="K23" s="743"/>
      <c r="L23" s="743"/>
    </row>
    <row r="24" spans="1:12" ht="16.5">
      <c r="A24" s="259"/>
      <c r="B24" s="831"/>
      <c r="C24" s="831"/>
      <c r="D24" s="243"/>
      <c r="E24" s="243"/>
      <c r="F24" s="242"/>
      <c r="G24" s="242"/>
      <c r="H24" s="743" t="s">
        <v>656</v>
      </c>
      <c r="I24" s="743"/>
      <c r="J24" s="743"/>
      <c r="K24" s="743"/>
      <c r="L24" s="743"/>
    </row>
    <row r="25" spans="1:12" ht="15.75" customHeight="1">
      <c r="A25" s="257"/>
      <c r="B25" s="257"/>
      <c r="C25" s="230"/>
      <c r="D25" s="230"/>
      <c r="E25" s="230"/>
      <c r="F25" s="242"/>
      <c r="G25" s="242"/>
      <c r="H25" s="242"/>
      <c r="I25" s="242"/>
      <c r="J25" s="242"/>
      <c r="K25" s="242"/>
      <c r="L25" s="242"/>
    </row>
    <row r="26" spans="1:12" ht="15.75">
      <c r="A26" s="257"/>
      <c r="B26" s="257"/>
      <c r="C26" s="230"/>
      <c r="D26" s="230"/>
      <c r="E26" s="230"/>
      <c r="F26" s="230"/>
      <c r="G26" s="230"/>
      <c r="H26" s="230"/>
      <c r="I26" s="230"/>
      <c r="J26" s="230"/>
      <c r="K26" s="230"/>
      <c r="L26" s="230"/>
    </row>
    <row r="27" spans="1:12" ht="15.75">
      <c r="A27" s="257"/>
      <c r="B27" s="257"/>
      <c r="C27" s="230"/>
      <c r="D27" s="230"/>
      <c r="E27" s="230"/>
      <c r="F27" s="230"/>
      <c r="G27" s="230"/>
      <c r="H27" s="230"/>
      <c r="I27" s="230"/>
      <c r="J27" s="230"/>
      <c r="K27" s="230"/>
      <c r="L27" s="230"/>
    </row>
    <row r="28" spans="1:12" ht="15.75">
      <c r="A28" s="257"/>
      <c r="B28" s="257"/>
      <c r="C28" s="230"/>
      <c r="D28" s="230"/>
      <c r="E28" s="230"/>
      <c r="F28" s="230"/>
      <c r="G28" s="230"/>
      <c r="H28" s="230"/>
      <c r="I28" s="230"/>
      <c r="J28" s="230"/>
      <c r="K28" s="230"/>
      <c r="L28" s="230"/>
    </row>
    <row r="29" spans="1:12" ht="16.5">
      <c r="A29" s="257"/>
      <c r="B29" s="824" t="s">
        <v>390</v>
      </c>
      <c r="C29" s="824"/>
      <c r="D29" s="824"/>
      <c r="E29" s="233"/>
      <c r="F29" s="233"/>
      <c r="G29" s="233"/>
      <c r="H29" s="824" t="s">
        <v>2</v>
      </c>
      <c r="I29" s="824"/>
      <c r="J29" s="824"/>
      <c r="K29" s="824"/>
      <c r="L29" s="824"/>
    </row>
  </sheetData>
  <sheetProtection/>
  <mergeCells count="22">
    <mergeCell ref="A1:C1"/>
    <mergeCell ref="D1:I2"/>
    <mergeCell ref="J1:L1"/>
    <mergeCell ref="A2:C2"/>
    <mergeCell ref="J2:L2"/>
    <mergeCell ref="A7:B7"/>
    <mergeCell ref="A8:B8"/>
    <mergeCell ref="B22:D22"/>
    <mergeCell ref="D3:I3"/>
    <mergeCell ref="J3:L3"/>
    <mergeCell ref="A5:B6"/>
    <mergeCell ref="C5:C6"/>
    <mergeCell ref="D5:G5"/>
    <mergeCell ref="H5:I5"/>
    <mergeCell ref="J5:L5"/>
    <mergeCell ref="B29:D29"/>
    <mergeCell ref="H22:L22"/>
    <mergeCell ref="H23:L23"/>
    <mergeCell ref="H24:L24"/>
    <mergeCell ref="H29:L29"/>
    <mergeCell ref="B23:D23"/>
    <mergeCell ref="B24:C24"/>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pc</cp:lastModifiedBy>
  <cp:lastPrinted>2015-08-05T02:45:02Z</cp:lastPrinted>
  <dcterms:created xsi:type="dcterms:W3CDTF">2004-03-07T02:36:29Z</dcterms:created>
  <dcterms:modified xsi:type="dcterms:W3CDTF">2015-08-12T07:39:43Z</dcterms:modified>
  <cp:category/>
  <cp:version/>
  <cp:contentType/>
  <cp:contentStatus/>
</cp:coreProperties>
</file>